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60" windowWidth="14295" windowHeight="4380" tabRatio="696"/>
  </bookViews>
  <sheets>
    <sheet name="แบบสรุปราคากลาง" sheetId="24" r:id="rId1"/>
    <sheet name="ค่าวัสดุและดำเนินการ" sheetId="1" r:id="rId2"/>
    <sheet name="ราคาต่อหน่วย" sheetId="23" r:id="rId3"/>
    <sheet name="คอนกรีต" sheetId="18" r:id="rId4"/>
    <sheet name="ท่อ" sheetId="15" r:id="rId5"/>
    <sheet name="แบบหล่อคอนกรีต" sheetId="21" r:id="rId6"/>
    <sheet name="รางระบายน้ำ" sheetId="22" r:id="rId7"/>
    <sheet name="เสนอแบบสรุป" sheetId="25" r:id="rId8"/>
    <sheet name="Sheet1" sheetId="26" r:id="rId9"/>
  </sheets>
  <definedNames>
    <definedName name="_xlnm.Print_Area" localSheetId="3">คอนกรีต!$A$1:$J$66</definedName>
    <definedName name="_xlnm.Print_Area" localSheetId="1">ค่าวัสดุและดำเนินการ!$A$1:$L$36</definedName>
    <definedName name="_xlnm.Print_Area" localSheetId="4">ท่อ!$A$1:$O$27</definedName>
    <definedName name="_xlnm.Print_Area" localSheetId="0">แบบสรุปราคากลาง!$A$1:$N$68</definedName>
    <definedName name="_xlnm.Print_Area" localSheetId="5">แบบหล่อคอนกรีต!$A$1:$H$40</definedName>
    <definedName name="_xlnm.Print_Area" localSheetId="2">ราคาต่อหน่วย!$A$1:$Q$100</definedName>
    <definedName name="_xlnm.Print_Area" localSheetId="6">รางระบายน้ำ!$A$1:$Q$48</definedName>
    <definedName name="_xlnm.Print_Area" localSheetId="7">เสนอแบบสรุป!$A$1:$N$53</definedName>
    <definedName name="_xlnm.Print_Titles" localSheetId="0">แบบสรุปราคากลาง!$1:$9</definedName>
    <definedName name="_xlnm.Print_Titles" localSheetId="7">เสนอแบบสรุป!$1:$8</definedName>
  </definedNames>
  <calcPr calcId="144525"/>
  <fileRecoveryPr autoRecover="0"/>
</workbook>
</file>

<file path=xl/calcChain.xml><?xml version="1.0" encoding="utf-8"?>
<calcChain xmlns="http://schemas.openxmlformats.org/spreadsheetml/2006/main">
  <c r="E96" i="23" l="1"/>
  <c r="E87" i="23"/>
  <c r="E75" i="23"/>
  <c r="E85" i="23"/>
  <c r="E74" i="23" l="1"/>
  <c r="I68" i="24" l="1"/>
  <c r="I67" i="24"/>
  <c r="B68" i="24"/>
  <c r="B67" i="24"/>
  <c r="I64" i="24"/>
  <c r="I63" i="24"/>
  <c r="B64" i="24"/>
  <c r="B63" i="24"/>
  <c r="E60" i="24"/>
  <c r="E59" i="24"/>
  <c r="I78" i="23" l="1"/>
  <c r="T58" i="23" l="1"/>
  <c r="U58" i="23"/>
  <c r="T83" i="23" l="1"/>
  <c r="T84" i="23" s="1"/>
  <c r="T71" i="23"/>
  <c r="T72" i="23" s="1"/>
  <c r="T59" i="23" l="1"/>
  <c r="E61" i="23" s="1"/>
  <c r="T93" i="23"/>
  <c r="K14" i="1" l="1"/>
  <c r="H61" i="23" s="1"/>
  <c r="A5" i="24" l="1"/>
  <c r="P54" i="23" l="1"/>
  <c r="P53" i="23"/>
  <c r="P52" i="23"/>
  <c r="P56" i="23" s="1"/>
  <c r="E39" i="23"/>
  <c r="P39" i="23" s="1"/>
  <c r="P21" i="23"/>
  <c r="P20" i="23"/>
  <c r="P18" i="23"/>
  <c r="K34" i="1"/>
  <c r="K13" i="1"/>
  <c r="P3" i="23"/>
  <c r="H16" i="24" l="1"/>
  <c r="H99" i="23"/>
  <c r="E97" i="23"/>
  <c r="I97" i="23"/>
  <c r="T94" i="23"/>
  <c r="E95" i="23"/>
  <c r="P95" i="23" s="1"/>
  <c r="E88" i="23"/>
  <c r="I88" i="23"/>
  <c r="H90" i="23"/>
  <c r="E78" i="23"/>
  <c r="P78" i="23" s="1"/>
  <c r="E77" i="23"/>
  <c r="E76" i="23"/>
  <c r="I77" i="23"/>
  <c r="P85" i="23"/>
  <c r="E86" i="23"/>
  <c r="P86" i="23" s="1"/>
  <c r="P77" i="23" l="1"/>
  <c r="E84" i="23"/>
  <c r="P97" i="23"/>
  <c r="P88" i="23"/>
  <c r="E94" i="23"/>
  <c r="H80" i="23"/>
  <c r="P76" i="23"/>
  <c r="E73" i="23"/>
  <c r="E72" i="23" l="1"/>
  <c r="P38" i="23"/>
  <c r="P42" i="23" s="1"/>
  <c r="P43" i="23" s="1"/>
  <c r="P27" i="23"/>
  <c r="P28" i="23" s="1"/>
  <c r="P31" i="23"/>
  <c r="P32" i="23" s="1"/>
  <c r="L13" i="24"/>
  <c r="P17" i="23"/>
  <c r="U59" i="23"/>
  <c r="E60" i="23" s="1"/>
  <c r="E62" i="23" s="1"/>
  <c r="H13" i="24"/>
  <c r="J13" i="24" s="1"/>
  <c r="N13" i="24" s="1"/>
  <c r="P61" i="23" l="1"/>
  <c r="M13" i="24"/>
  <c r="I15" i="15" l="1"/>
  <c r="N7" i="15"/>
  <c r="L28" i="24"/>
  <c r="A4" i="24" l="1"/>
  <c r="G7" i="25" l="1"/>
  <c r="G6" i="25"/>
  <c r="A7" i="25"/>
  <c r="A6" i="25"/>
  <c r="G8" i="24" l="1"/>
  <c r="G7" i="24"/>
  <c r="A8" i="24"/>
  <c r="A7" i="24"/>
  <c r="H26" i="24" l="1"/>
  <c r="L26" i="24"/>
  <c r="L24" i="24"/>
  <c r="L23" i="24"/>
  <c r="M26" i="24" l="1"/>
  <c r="J26" i="24"/>
  <c r="N26" i="24" s="1"/>
  <c r="P63" i="23" l="1"/>
  <c r="F62" i="23"/>
  <c r="H57" i="23"/>
  <c r="K53" i="23"/>
  <c r="K30" i="1"/>
  <c r="H21" i="22" s="1"/>
  <c r="K29" i="1"/>
  <c r="K16" i="1"/>
  <c r="K18" i="1"/>
  <c r="I84" i="23" l="1"/>
  <c r="P84" i="23" s="1"/>
  <c r="I72" i="23"/>
  <c r="P72" i="23" s="1"/>
  <c r="H62" i="23"/>
  <c r="P62" i="23" s="1"/>
  <c r="H5" i="22"/>
  <c r="H18" i="22"/>
  <c r="H68" i="23"/>
  <c r="H66" i="23"/>
  <c r="P66" i="23" s="1"/>
  <c r="H64" i="23"/>
  <c r="P64" i="23" s="1"/>
  <c r="H65" i="23"/>
  <c r="P65" i="23" s="1"/>
  <c r="E57" i="23"/>
  <c r="P57" i="23" s="1"/>
  <c r="E58" i="23" l="1"/>
  <c r="J59" i="23"/>
  <c r="P59" i="23" s="1"/>
  <c r="A5" i="25" l="1"/>
  <c r="A4" i="25"/>
  <c r="A3" i="25"/>
  <c r="A2" i="25"/>
  <c r="P37" i="25" l="1"/>
  <c r="G6" i="24" l="1"/>
  <c r="A6" i="24"/>
  <c r="A3" i="24"/>
  <c r="A2" i="24"/>
  <c r="L22" i="24"/>
  <c r="L21" i="24"/>
  <c r="L19" i="24"/>
  <c r="L17" i="24"/>
  <c r="L16" i="24"/>
  <c r="M16" i="24" s="1"/>
  <c r="J16" i="24"/>
  <c r="L15" i="24"/>
  <c r="M15" i="24" s="1"/>
  <c r="J15" i="24"/>
  <c r="N16" i="24" l="1"/>
  <c r="N15" i="24"/>
  <c r="E18" i="22"/>
  <c r="E5" i="22"/>
  <c r="F50" i="18"/>
  <c r="G50" i="18"/>
  <c r="J50" i="18"/>
  <c r="I50" i="18"/>
  <c r="K33" i="1" l="1"/>
  <c r="K32" i="1"/>
  <c r="K31" i="1"/>
  <c r="I73" i="23" s="1"/>
  <c r="P73" i="23" s="1"/>
  <c r="I75" i="23" l="1"/>
  <c r="P75" i="23" s="1"/>
  <c r="I87" i="23"/>
  <c r="P87" i="23" s="1"/>
  <c r="P89" i="23" s="1"/>
  <c r="E90" i="23" s="1"/>
  <c r="I96" i="23"/>
  <c r="P96" i="23" s="1"/>
  <c r="I74" i="23"/>
  <c r="P74" i="23" s="1"/>
  <c r="P79" i="23" l="1"/>
  <c r="E80" i="23" s="1"/>
  <c r="P81" i="23" s="1"/>
  <c r="H22" i="24" s="1"/>
  <c r="P91" i="23"/>
  <c r="H23" i="24" s="1"/>
  <c r="P90" i="23"/>
  <c r="P7" i="22"/>
  <c r="H23" i="22"/>
  <c r="H12" i="22"/>
  <c r="G7" i="21"/>
  <c r="D6" i="21"/>
  <c r="H60" i="23"/>
  <c r="P60" i="23" s="1"/>
  <c r="K15" i="1"/>
  <c r="P80" i="23" l="1"/>
  <c r="H8" i="22"/>
  <c r="P8" i="22" s="1"/>
  <c r="H17" i="22"/>
  <c r="P17" i="22" s="1"/>
  <c r="H4" i="22"/>
  <c r="P4" i="22" s="1"/>
  <c r="H20" i="22"/>
  <c r="P20" i="22" s="1"/>
  <c r="P21" i="22"/>
  <c r="P18" i="22"/>
  <c r="P5" i="22"/>
  <c r="G20" i="21" l="1"/>
  <c r="D19" i="21"/>
  <c r="K28" i="1" l="1"/>
  <c r="K27" i="1"/>
  <c r="K26" i="1"/>
  <c r="K25" i="1"/>
  <c r="K24" i="1"/>
  <c r="C3" i="15" s="1"/>
  <c r="K23" i="1"/>
  <c r="K22" i="1"/>
  <c r="K21" i="1"/>
  <c r="E8" i="18" s="1"/>
  <c r="K20" i="1"/>
  <c r="H10" i="22" s="1"/>
  <c r="K19" i="1"/>
  <c r="E6" i="18" s="1"/>
  <c r="K17" i="1"/>
  <c r="K12" i="1"/>
  <c r="E55" i="23" s="1"/>
  <c r="P55" i="23" s="1"/>
  <c r="H58" i="23" s="1"/>
  <c r="P58" i="23" s="1"/>
  <c r="P67" i="23" l="1"/>
  <c r="E68" i="23" s="1"/>
  <c r="P68" i="23" s="1"/>
  <c r="P69" i="23" s="1"/>
  <c r="H21" i="24" s="1"/>
  <c r="G5" i="15"/>
  <c r="P6" i="23"/>
  <c r="P8" i="23" s="1"/>
  <c r="I94" i="23"/>
  <c r="P94" i="23" s="1"/>
  <c r="P98" i="23" s="1"/>
  <c r="E99" i="23" s="1"/>
  <c r="N3" i="15"/>
  <c r="H48" i="18"/>
  <c r="H50" i="18" s="1"/>
  <c r="F16" i="21"/>
  <c r="G16" i="21" s="1"/>
  <c r="F3" i="21"/>
  <c r="G3" i="21" s="1"/>
  <c r="F18" i="21"/>
  <c r="G18" i="21" s="1"/>
  <c r="F5" i="21"/>
  <c r="G5" i="21" s="1"/>
  <c r="F17" i="21"/>
  <c r="G17" i="21" s="1"/>
  <c r="F4" i="21"/>
  <c r="G4" i="21" s="1"/>
  <c r="F19" i="21"/>
  <c r="G19" i="21" s="1"/>
  <c r="F6" i="21"/>
  <c r="G6" i="21" s="1"/>
  <c r="E7" i="18"/>
  <c r="J7" i="18" s="1"/>
  <c r="J8" i="18"/>
  <c r="J6" i="18"/>
  <c r="E9" i="23" l="1"/>
  <c r="P9" i="23" s="1"/>
  <c r="P99" i="23"/>
  <c r="P100" i="23"/>
  <c r="H24" i="24" s="1"/>
  <c r="J10" i="18"/>
  <c r="G6" i="15" s="1"/>
  <c r="M21" i="24"/>
  <c r="J21" i="24"/>
  <c r="M17" i="24"/>
  <c r="J17" i="24"/>
  <c r="H16" i="22"/>
  <c r="H3" i="22"/>
  <c r="G21" i="21"/>
  <c r="G22" i="21" s="1"/>
  <c r="G24" i="21" s="1"/>
  <c r="G8" i="21"/>
  <c r="G9" i="21" s="1"/>
  <c r="F6" i="18"/>
  <c r="G6" i="18"/>
  <c r="H6" i="18"/>
  <c r="I6" i="18"/>
  <c r="F7" i="18"/>
  <c r="G7" i="18"/>
  <c r="H7" i="18"/>
  <c r="I7" i="18"/>
  <c r="F8" i="18"/>
  <c r="G8" i="18"/>
  <c r="H8" i="18"/>
  <c r="I8" i="18"/>
  <c r="P11" i="23" l="1"/>
  <c r="P12" i="23" s="1"/>
  <c r="H19" i="24" s="1"/>
  <c r="N21" i="24"/>
  <c r="H9" i="22"/>
  <c r="P9" i="22" s="1"/>
  <c r="H10" i="18"/>
  <c r="N17" i="24"/>
  <c r="P10" i="22"/>
  <c r="P16" i="22"/>
  <c r="G11" i="21"/>
  <c r="N6" i="15"/>
  <c r="H19" i="22"/>
  <c r="P3" i="22"/>
  <c r="N5" i="15" l="1"/>
  <c r="H6" i="22"/>
  <c r="P6" i="22" s="1"/>
  <c r="P11" i="22" s="1"/>
  <c r="J19" i="24"/>
  <c r="M19" i="24"/>
  <c r="P19" i="22"/>
  <c r="P22" i="22" s="1"/>
  <c r="L13" i="15"/>
  <c r="F15" i="15" s="1"/>
  <c r="N19" i="24" l="1"/>
  <c r="L15" i="15"/>
  <c r="N4" i="15" s="1"/>
  <c r="N2" i="15"/>
  <c r="N8" i="15" l="1"/>
  <c r="N9" i="15" s="1"/>
  <c r="E12" i="22"/>
  <c r="P12" i="22" s="1"/>
  <c r="M28" i="24" l="1"/>
  <c r="J28" i="24"/>
  <c r="J23" i="24"/>
  <c r="N23" i="24" s="1"/>
  <c r="M23" i="24"/>
  <c r="M24" i="24"/>
  <c r="J24" i="24"/>
  <c r="N24" i="24" s="1"/>
  <c r="J22" i="24"/>
  <c r="M22" i="24"/>
  <c r="P13" i="22"/>
  <c r="N28" i="24" l="1"/>
  <c r="J32" i="24"/>
  <c r="N22" i="24"/>
  <c r="N30" i="24" s="1"/>
  <c r="N31" i="24" s="1"/>
  <c r="E23" i="22"/>
  <c r="P23" i="22" s="1"/>
  <c r="P24" i="22" s="1"/>
  <c r="P30" i="24" l="1"/>
  <c r="P32" i="24"/>
</calcChain>
</file>

<file path=xl/comments1.xml><?xml version="1.0" encoding="utf-8"?>
<comments xmlns="http://schemas.openxmlformats.org/spreadsheetml/2006/main">
  <authors>
    <author>P'G</author>
    <author>pg-pc</author>
    <author>PK_computer</author>
  </authors>
  <commentList>
    <comment ref="P24" authorId="0">
      <text>
        <r>
          <rPr>
            <b/>
            <sz val="9"/>
            <color indexed="81"/>
            <rFont val="Tahoma"/>
            <family val="2"/>
          </rPr>
          <t>P'G:</t>
        </r>
        <r>
          <rPr>
            <sz val="9"/>
            <color indexed="81"/>
            <rFont val="Tahoma"/>
            <family val="2"/>
          </rPr>
          <t xml:space="preserve">
ไม่มี(มาจากงานดินตัด)
</t>
        </r>
      </text>
    </comment>
    <comment ref="P25" authorId="0">
      <text>
        <r>
          <rPr>
            <b/>
            <sz val="9"/>
            <color indexed="81"/>
            <rFont val="Tahoma"/>
            <family val="2"/>
          </rPr>
          <t>P'G:</t>
        </r>
        <r>
          <rPr>
            <sz val="9"/>
            <color indexed="81"/>
            <rFont val="Tahoma"/>
            <family val="2"/>
          </rPr>
          <t xml:space="preserve">
ไม่มี(มาจากงานดินตัด)
</t>
        </r>
      </text>
    </comment>
    <comment ref="E26" authorId="0">
      <text>
        <r>
          <rPr>
            <b/>
            <sz val="9"/>
            <color indexed="81"/>
            <rFont val="Tahoma"/>
            <family val="2"/>
          </rPr>
          <t>P'G:</t>
        </r>
        <r>
          <rPr>
            <sz val="9"/>
            <color indexed="81"/>
            <rFont val="Tahoma"/>
            <family val="2"/>
          </rPr>
          <t xml:space="preserve">
ไม่มี(มาจากงานดินตัด)
</t>
        </r>
      </text>
    </comment>
    <comment ref="P26" authorId="0">
      <text>
        <r>
          <rPr>
            <b/>
            <sz val="9"/>
            <color indexed="81"/>
            <rFont val="Tahoma"/>
            <family val="2"/>
          </rPr>
          <t>P'G:</t>
        </r>
        <r>
          <rPr>
            <sz val="9"/>
            <color indexed="81"/>
            <rFont val="Tahoma"/>
            <family val="2"/>
          </rPr>
          <t xml:space="preserve">
ไม่มี(มาจากงานดินตัด)
</t>
        </r>
      </text>
    </comment>
    <comment ref="E37" authorId="0">
      <text>
        <r>
          <rPr>
            <b/>
            <sz val="9"/>
            <color indexed="81"/>
            <rFont val="Tahoma"/>
            <family val="2"/>
          </rPr>
          <t>P'G:</t>
        </r>
        <r>
          <rPr>
            <sz val="9"/>
            <color indexed="81"/>
            <rFont val="Tahoma"/>
            <family val="2"/>
          </rPr>
          <t xml:space="preserve">
ไม่มี(มาจากงานดินตัด)
</t>
        </r>
      </text>
    </comment>
    <comment ref="E54" authorId="1">
      <text>
        <r>
          <rPr>
            <b/>
            <sz val="9"/>
            <color indexed="81"/>
            <rFont val="Tahoma"/>
            <family val="2"/>
          </rPr>
          <t>pg-pc:</t>
        </r>
        <r>
          <rPr>
            <sz val="9"/>
            <color indexed="81"/>
            <rFont val="Tahoma"/>
            <family val="2"/>
          </rPr>
          <t xml:space="preserve">
ค่าดำเนินการ ค่าเสื่อมราคา
</t>
        </r>
      </text>
    </comment>
    <comment ref="H54" authorId="2">
      <text>
        <r>
          <rPr>
            <b/>
            <sz val="9"/>
            <color indexed="81"/>
            <rFont val="Tahoma"/>
            <family val="2"/>
          </rPr>
          <t>PK_computer:</t>
        </r>
        <r>
          <rPr>
            <sz val="9"/>
            <color indexed="81"/>
            <rFont val="Tahoma"/>
            <family val="2"/>
          </rPr>
          <t xml:space="preserve">
น้อยกว่า 5,000 ลบ.ม.
ใช้ 5,000 ลบ.ม</t>
        </r>
      </text>
    </comment>
    <comment ref="G59" authorId="1">
      <text>
        <r>
          <rPr>
            <b/>
            <sz val="9"/>
            <color indexed="81"/>
            <rFont val="Tahoma"/>
            <family val="2"/>
          </rPr>
          <t>pg-pc:</t>
        </r>
        <r>
          <rPr>
            <sz val="9"/>
            <color indexed="81"/>
            <rFont val="Tahoma"/>
            <family val="2"/>
          </rPr>
          <t xml:space="preserve">
ค่าดำเนินการ ค่าเสื่อมราคา
</t>
        </r>
      </text>
    </comment>
    <comment ref="E63" authorId="1">
      <text>
        <r>
          <rPr>
            <b/>
            <sz val="9"/>
            <color indexed="81"/>
            <rFont val="Tahoma"/>
            <family val="2"/>
          </rPr>
          <t>pg-pc:</t>
        </r>
        <r>
          <rPr>
            <sz val="9"/>
            <color indexed="81"/>
            <rFont val="Tahoma"/>
            <family val="2"/>
          </rPr>
          <t xml:space="preserve">
ค่าดำเนินการ ค่าเสื่อมราคา
</t>
        </r>
      </text>
    </comment>
    <comment ref="E64" authorId="1">
      <text>
        <r>
          <rPr>
            <b/>
            <sz val="9"/>
            <color indexed="81"/>
            <rFont val="Tahoma"/>
            <family val="2"/>
          </rPr>
          <t>pg-pc:</t>
        </r>
        <r>
          <rPr>
            <sz val="9"/>
            <color indexed="81"/>
            <rFont val="Tahoma"/>
            <family val="2"/>
          </rPr>
          <t xml:space="preserve">
ค่าดำเนินการ ค่าเสื่อมราคา
</t>
        </r>
      </text>
    </comment>
    <comment ref="E65" authorId="1">
      <text>
        <r>
          <rPr>
            <b/>
            <sz val="9"/>
            <color indexed="81"/>
            <rFont val="Tahoma"/>
            <family val="2"/>
          </rPr>
          <t>pg-pc:</t>
        </r>
        <r>
          <rPr>
            <sz val="9"/>
            <color indexed="81"/>
            <rFont val="Tahoma"/>
            <family val="2"/>
          </rPr>
          <t xml:space="preserve">
ค่าดำเนินการ ค่าเสื่อมราคา
</t>
        </r>
      </text>
    </comment>
    <comment ref="E66" authorId="1">
      <text>
        <r>
          <rPr>
            <b/>
            <sz val="9"/>
            <color indexed="81"/>
            <rFont val="Tahoma"/>
            <family val="2"/>
          </rPr>
          <t>pg-pc:</t>
        </r>
        <r>
          <rPr>
            <sz val="9"/>
            <color indexed="81"/>
            <rFont val="Tahoma"/>
            <family val="2"/>
          </rPr>
          <t xml:space="preserve">
ค่าดำเนินการ ค่าเสื่อมราคา
</t>
        </r>
      </text>
    </comment>
  </commentList>
</comments>
</file>

<file path=xl/comments2.xml><?xml version="1.0" encoding="utf-8"?>
<comments xmlns="http://schemas.openxmlformats.org/spreadsheetml/2006/main">
  <authors>
    <author>pg-pc</author>
  </authors>
  <commentList>
    <comment ref="H7" authorId="0">
      <text>
        <r>
          <rPr>
            <b/>
            <sz val="9"/>
            <color indexed="81"/>
            <rFont val="Tahoma"/>
            <family val="2"/>
          </rPr>
          <t>pg-pc:</t>
        </r>
        <r>
          <rPr>
            <sz val="9"/>
            <color indexed="81"/>
            <rFont val="Tahoma"/>
            <family val="2"/>
          </rPr>
          <t xml:space="preserve">
ค่าดำเนินการ ค่าเสื่อมราคา
</t>
        </r>
      </text>
    </comment>
  </commentList>
</comments>
</file>

<file path=xl/sharedStrings.xml><?xml version="1.0" encoding="utf-8"?>
<sst xmlns="http://schemas.openxmlformats.org/spreadsheetml/2006/main" count="888" uniqueCount="354">
  <si>
    <t>รายการ</t>
  </si>
  <si>
    <t>หน่วย</t>
  </si>
  <si>
    <t>(บาท)</t>
  </si>
  <si>
    <t>ระยะ</t>
  </si>
  <si>
    <t>ขนส่ง</t>
  </si>
  <si>
    <t>ค่า</t>
  </si>
  <si>
    <t>วัสดุ</t>
  </si>
  <si>
    <t>(กม.)</t>
  </si>
  <si>
    <t>ขึ้นลง</t>
  </si>
  <si>
    <t>ค่าขน</t>
  </si>
  <si>
    <t>ค่าตัด/</t>
  </si>
  <si>
    <t>ดัดเหล็ก</t>
  </si>
  <si>
    <t>รวม</t>
  </si>
  <si>
    <t>หมายเหตุ</t>
  </si>
  <si>
    <t>แบบสรุปข้อมูลวัสดุและค่าดำเนินการ</t>
  </si>
  <si>
    <t>เงินประกันผลงานหัก        0 %</t>
  </si>
  <si>
    <t>อัตราดอกเบี้ยเงินกู้ (MLR)   6 %</t>
  </si>
  <si>
    <t>บ/ลบ.ม.</t>
  </si>
  <si>
    <t>-</t>
  </si>
  <si>
    <t>บาท</t>
  </si>
  <si>
    <t>ลบ.ม.</t>
  </si>
  <si>
    <t>=</t>
  </si>
  <si>
    <t>ตร.ม.</t>
  </si>
  <si>
    <t>ลำดับ</t>
  </si>
  <si>
    <t>จำนวน</t>
  </si>
  <si>
    <t>ราคาทุน</t>
  </si>
  <si>
    <t>FN</t>
  </si>
  <si>
    <t xml:space="preserve">ราคาต่อหน่วย </t>
  </si>
  <si>
    <t>X   FN</t>
  </si>
  <si>
    <t>ผลรวมค่างานต้นทุนงานก่อสร้างทาง</t>
  </si>
  <si>
    <t>ผลรวมค่างานต้นทุนงานก่อสร้างสะพานและท่อเหลียม</t>
  </si>
  <si>
    <t>ค่า  Factor   F   งานก่อสร้างทาง</t>
  </si>
  <si>
    <t>ค่า  Factor   F   งานก่อสร้างสะพานและท่อเหลียม</t>
  </si>
  <si>
    <t>แบบสรุปราคากลางงานก่อสร้างทาง สะพาน และท่อเหลี่ยม</t>
  </si>
  <si>
    <t>เมตร</t>
  </si>
  <si>
    <t>( นายชัยเดช  อภิวัฒน์สกุล )</t>
  </si>
  <si>
    <t>รองนายก อบต.ป่ากลาง</t>
  </si>
  <si>
    <t>( นายจิรวรรธ  ทรงเจริญกุล )</t>
  </si>
  <si>
    <t>เลขานุการนายก อบต.ป่ากลาง</t>
  </si>
  <si>
    <t>( นายผจญ  ทิปกะ )</t>
  </si>
  <si>
    <t>ปลัด อบต.ป่ากลาง</t>
  </si>
  <si>
    <t>( นายสุภาพ  ปัญญา )</t>
  </si>
  <si>
    <t>รองปลัด อบต.ป่ากลาง</t>
  </si>
  <si>
    <t>( นางสุพรรณี  กันทะวงศ์ )</t>
  </si>
  <si>
    <t>หัวหน้าสำนักปลัด</t>
  </si>
  <si>
    <t>( นายมนู  แสนคำแพ )</t>
  </si>
  <si>
    <t>นิติกร</t>
  </si>
  <si>
    <t>( นายอดิเรก  สุขลำใย )</t>
  </si>
  <si>
    <t>นักวิเคราะห์นโยบายและแผนฯ</t>
  </si>
  <si>
    <t>( นายทวีศักดิ์  กิตติยังกุล )</t>
  </si>
  <si>
    <t>เจ้าพนักงานป้องกันฯ</t>
  </si>
  <si>
    <t>( นางสาวอุมาพร  ธนะวัง )</t>
  </si>
  <si>
    <t>นักจัดการงานทั่วไป</t>
  </si>
  <si>
    <t>( สิบเอกประกิต  การุณยรัต )</t>
  </si>
  <si>
    <t>เจ้าพนักงานธุรการ</t>
  </si>
  <si>
    <t>( นางรจนา  ชัญถาวร )</t>
  </si>
  <si>
    <t>ผู้อำนวยการกองคลัง</t>
  </si>
  <si>
    <t>( นายจตุรภูมิ  อิ่นแก้ว )</t>
  </si>
  <si>
    <t>นักวิชาการจัดเก็บรายได้</t>
  </si>
  <si>
    <t>( นางอังคณา  ชราชิต )</t>
  </si>
  <si>
    <t>เจ้าหน้าที่การเงินและบัญชี</t>
  </si>
  <si>
    <t>ผู้อำนวยการกองช่าง</t>
  </si>
  <si>
    <t>( นายณัฐวัตร  สว่างเมฆฤทธิ์ )</t>
  </si>
  <si>
    <t>ผู้อำนวยกองการศึกษา</t>
  </si>
  <si>
    <t>( นางเกษสุรินทร์  พอใจ )</t>
  </si>
  <si>
    <t>นักพัฒนาชุมชน</t>
  </si>
  <si>
    <t>( นายสุรเดช   พรมมีเดช )</t>
  </si>
  <si>
    <t>นายช่างโยธา</t>
  </si>
  <si>
    <t>ราคา</t>
  </si>
  <si>
    <t>ต่อหน่วย</t>
  </si>
  <si>
    <t>ลงชื่อ...........................................................ประธานกรรมการกำหนดราคากลาง</t>
  </si>
  <si>
    <t xml:space="preserve">ที่ </t>
  </si>
  <si>
    <t>ภาษีมูลค่าเพิ่ม     7  %</t>
  </si>
  <si>
    <t>ค่างาน ลบ.ม. ละ</t>
  </si>
  <si>
    <t>... รวมค่าวัสดุที่หน้างาน</t>
  </si>
  <si>
    <t>... รวมค่างานต้นทุน</t>
  </si>
  <si>
    <t>อื่นๆ</t>
  </si>
  <si>
    <t>ราคาก่อสร้าง</t>
  </si>
  <si>
    <t xml:space="preserve">R.C. Pipe Culvert   Dia. </t>
  </si>
  <si>
    <t>ขุดดิน</t>
  </si>
  <si>
    <t>ลบ.ม. @</t>
  </si>
  <si>
    <t xml:space="preserve">  =</t>
  </si>
  <si>
    <t>บาท/ม.</t>
  </si>
  <si>
    <r>
      <t xml:space="preserve">ค่าท่อØ  </t>
    </r>
    <r>
      <rPr>
        <sz val="16"/>
        <color indexed="10"/>
        <rFont val="TH SarabunPSK"/>
        <family val="2"/>
      </rPr>
      <t/>
    </r>
  </si>
  <si>
    <t>ค่าขนส่ง</t>
  </si>
  <si>
    <t>ค่าวางและกลบกลับ</t>
  </si>
  <si>
    <t>ค่าใช้จ่ายรวม</t>
  </si>
  <si>
    <t>ค่างานต้นทุน</t>
  </si>
  <si>
    <t xml:space="preserve">    ค่าขนส่งท่อคิดจารการขนโดยรถบรรทุก  10  ล้อ  เที่ยวละ  13  ตัน</t>
  </si>
  <si>
    <t xml:space="preserve">    ค่าขนท่อขึ้น - ลง  คิดเที่ยวละ  300  บาท </t>
  </si>
  <si>
    <t xml:space="preserve">    ค่าขนส่ง     </t>
  </si>
  <si>
    <t>กม.=</t>
  </si>
  <si>
    <t>x 13+300</t>
  </si>
  <si>
    <t>บาท/เที่ยว</t>
  </si>
  <si>
    <t xml:space="preserve">    ค่าขนส่งเฉลี่ย                       = </t>
  </si>
  <si>
    <t>/</t>
  </si>
  <si>
    <t>ขนาดท่อ</t>
  </si>
  <si>
    <t>จำนวน/เที่ยว</t>
  </si>
  <si>
    <t>ปริมาณท่อรวมช่องว่างภายใน</t>
  </si>
  <si>
    <t>คอนกรีตหยาบ</t>
  </si>
  <si>
    <t>(ม.)</t>
  </si>
  <si>
    <t>(บาท/ม.)</t>
  </si>
  <si>
    <t>(ลบ.ม.)</t>
  </si>
  <si>
    <t>Ø 0.30</t>
  </si>
  <si>
    <t>Ø 0.40</t>
  </si>
  <si>
    <t>Ø 0.50</t>
  </si>
  <si>
    <t>Ø 0.60</t>
  </si>
  <si>
    <t>Ø 0.80</t>
  </si>
  <si>
    <t>Ø 1.00</t>
  </si>
  <si>
    <t>Ø 1.20</t>
  </si>
  <si>
    <t>Ø 1.50</t>
  </si>
  <si>
    <t>บาท/ตัน</t>
  </si>
  <si>
    <t>บาท/เมตร</t>
  </si>
  <si>
    <r>
      <t xml:space="preserve">Expansion  Joint  </t>
    </r>
    <r>
      <rPr>
        <sz val="16"/>
        <rFont val="TH SarabunPSK"/>
        <family val="2"/>
      </rPr>
      <t>(รอยต่อเผื่อขยายตามขวาง)</t>
    </r>
  </si>
  <si>
    <t>กก.</t>
  </si>
  <si>
    <t>@</t>
  </si>
  <si>
    <t>Metal Cap + ทาสี + จาระบี</t>
  </si>
  <si>
    <t>ชุด</t>
  </si>
  <si>
    <t xml:space="preserve">Joint  Sealer  </t>
  </si>
  <si>
    <t>ลิตร</t>
  </si>
  <si>
    <t>ค่าหยอดยาง</t>
  </si>
  <si>
    <t>ม.</t>
  </si>
  <si>
    <t>แผ่นพลาสติก</t>
  </si>
  <si>
    <t>ไม้แบบ (2)</t>
  </si>
  <si>
    <r>
      <t>Contraction  Joint</t>
    </r>
    <r>
      <rPr>
        <b/>
        <sz val="16"/>
        <rFont val="TH SarabunPSK"/>
        <family val="2"/>
      </rPr>
      <t xml:space="preserve">  </t>
    </r>
    <r>
      <rPr>
        <sz val="16"/>
        <rFont val="TH SarabunPSK"/>
        <family val="2"/>
      </rPr>
      <t>(รอยต่อเผื่อหดตามขวาง)</t>
    </r>
  </si>
  <si>
    <t>ค่าตัด Joint และหยอดยาง</t>
  </si>
  <si>
    <t>ทาสี + จาระบี</t>
  </si>
  <si>
    <t>Joint  Sealer</t>
  </si>
  <si>
    <r>
      <t>Longitudinal  Joint</t>
    </r>
    <r>
      <rPr>
        <b/>
        <sz val="16"/>
        <rFont val="TH SarabunPSK"/>
        <family val="2"/>
      </rPr>
      <t xml:space="preserve">  </t>
    </r>
    <r>
      <rPr>
        <sz val="16"/>
        <rFont val="TH SarabunPSK"/>
        <family val="2"/>
      </rPr>
      <t>(รอยต่อตามยาว)</t>
    </r>
  </si>
  <si>
    <t>เหล็ก RB Ø 15 มม.</t>
  </si>
  <si>
    <t>บาท/ตร.ม.</t>
  </si>
  <si>
    <t>หนา</t>
  </si>
  <si>
    <t>ซม.</t>
  </si>
  <si>
    <t>x</t>
  </si>
  <si>
    <t>บาท/ลบ.ม.</t>
  </si>
  <si>
    <t xml:space="preserve">คิดจากพื้นที่ผิวคอนกรีต  </t>
  </si>
  <si>
    <t>ค่าแบบ</t>
  </si>
  <si>
    <t>ค่าบ่มผิวทางคอนกรีต</t>
  </si>
  <si>
    <t xml:space="preserve">ค่าติดตั้งเครื่องผสม   </t>
  </si>
  <si>
    <t xml:space="preserve"> =</t>
  </si>
  <si>
    <t>ปริมาณคอนกรีต</t>
  </si>
  <si>
    <t>ปริมาณงานทั้งโครงการ</t>
  </si>
  <si>
    <t>/ 100</t>
  </si>
  <si>
    <t>X</t>
  </si>
  <si>
    <t>ค่าขัดหยาบผิวคอนกรีต</t>
  </si>
  <si>
    <t>กรณีทรายและหินมีหน่วยเป็นปริมาตร</t>
  </si>
  <si>
    <t>Class of Concrete</t>
  </si>
  <si>
    <t>ค 4</t>
  </si>
  <si>
    <t>ค 3</t>
  </si>
  <si>
    <t>ค 2</t>
  </si>
  <si>
    <t>ค 1</t>
  </si>
  <si>
    <t>Lean  1:3:5</t>
  </si>
  <si>
    <t>ส่วนผสมคอนกรีต</t>
  </si>
  <si>
    <t>400:524:728</t>
  </si>
  <si>
    <t>350:572:736</t>
  </si>
  <si>
    <t>320:596:764</t>
  </si>
  <si>
    <t>290:620:725</t>
  </si>
  <si>
    <t>240:520:870</t>
  </si>
  <si>
    <t xml:space="preserve">   1. ซีเมนต์</t>
  </si>
  <si>
    <t xml:space="preserve">   2. ทราย</t>
  </si>
  <si>
    <t xml:space="preserve">   3. หิน</t>
  </si>
  <si>
    <t>320/280</t>
  </si>
  <si>
    <t>280/240</t>
  </si>
  <si>
    <t>240/210</t>
  </si>
  <si>
    <t>210/180</t>
  </si>
  <si>
    <t>180/140</t>
  </si>
  <si>
    <t xml:space="preserve">   1. คอนกรีตผสมเสร็จ</t>
  </si>
  <si>
    <t xml:space="preserve">   2. ค่าแรงเท</t>
  </si>
  <si>
    <t>บ/ตัน</t>
  </si>
  <si>
    <t xml:space="preserve">ปูนซีเมนต์ปอร์ตแลนด์   </t>
  </si>
  <si>
    <t>ทรายหยาบ</t>
  </si>
  <si>
    <t>หินผสมคอนกรีต</t>
  </si>
  <si>
    <t>ทรายถม</t>
  </si>
  <si>
    <t>ท่อน</t>
  </si>
  <si>
    <t>สืบ</t>
  </si>
  <si>
    <t>ไม้กระบากไม่ไส  1"x6"</t>
  </si>
  <si>
    <t>ลบ.ฟ.</t>
  </si>
  <si>
    <t>ไม้ยางไม่ไส 1 1/2"x3"</t>
  </si>
  <si>
    <r>
      <t>ไม้ขนาด</t>
    </r>
    <r>
      <rPr>
        <sz val="16"/>
        <color theme="1"/>
        <rFont val="Calibri"/>
        <family val="2"/>
      </rPr>
      <t>ø</t>
    </r>
    <r>
      <rPr>
        <sz val="17.600000000000001"/>
        <color theme="1"/>
        <rFont val="TH SarabunPSK"/>
        <family val="2"/>
      </rPr>
      <t xml:space="preserve"> 4"x4.00  ม.</t>
    </r>
  </si>
  <si>
    <t>ตะปูตอกไม้ชนิดผอม  ขนาด 3 นิ้ว</t>
  </si>
  <si>
    <t>กม.  X</t>
  </si>
  <si>
    <t>ค่างานต้นทุนที่ใช้</t>
  </si>
  <si>
    <t>ค่าขนส่งวัสดุไปทิ้ง  ระยะทางขนส่ง</t>
  </si>
  <si>
    <t>กม.</t>
  </si>
  <si>
    <t xml:space="preserve">... รวมค่างานต้นทุน </t>
  </si>
  <si>
    <t>งานดินถมจากงานดินตัด</t>
  </si>
  <si>
    <t>ค่าวัสดุ</t>
  </si>
  <si>
    <t>งานดินถม</t>
  </si>
  <si>
    <t>ค่าวัสดุที่แหล่ง</t>
  </si>
  <si>
    <t>งานดิน</t>
  </si>
  <si>
    <t>1.1 งานขุดป่าถางตอขนาดกลาง</t>
  </si>
  <si>
    <t>1.2 งานดินตัดคันทาง</t>
  </si>
  <si>
    <t>1.3  งานดินถมคันทาง</t>
  </si>
  <si>
    <t>2.1 งานทรายรองใต้ผิวทางคอนกรีต</t>
  </si>
  <si>
    <t>งานวัสดุรองใต้ผิวทางคอนกรีต</t>
  </si>
  <si>
    <t>งานผิวทาง</t>
  </si>
  <si>
    <t>3.1 งานผิวทางปอร์ตแลนด์ซีเมนต์คอนกรีตหนา 0.15 ม.</t>
  </si>
  <si>
    <t>3.2 งานรอยต่อเผื่อขยายตามขวาง</t>
  </si>
  <si>
    <t>3.3 งานรอยต่อเผื่อหดตามขวาง</t>
  </si>
  <si>
    <t>3.4 งานรอยต่อตามยาว</t>
  </si>
  <si>
    <t>งานไหล่ทาง</t>
  </si>
  <si>
    <t>4.1 งานดินถมไหล่ทาง</t>
  </si>
  <si>
    <t>รวมค่าก่อสร้าง</t>
  </si>
  <si>
    <t>งานทรายรองใต้ผิวทางคอนกรีต</t>
  </si>
  <si>
    <t>ค่าวัสดุจากแหล่งรวมค่าตัก</t>
  </si>
  <si>
    <t xml:space="preserve">ค่าขนส่ง   </t>
  </si>
  <si>
    <t>งานดินตัด</t>
  </si>
  <si>
    <t>ดินถมไหล่ทาง</t>
  </si>
  <si>
    <t>ราคา/หน่วย</t>
  </si>
  <si>
    <t>ต่อ 1 ตร.ม.</t>
  </si>
  <si>
    <t xml:space="preserve"> - ค่าแรงประกอบแบบ</t>
  </si>
  <si>
    <t xml:space="preserve"> - ไม้กระบากขนาด 1" x 6"- 8" ยาว 2.50 - 6.00 เมตร</t>
  </si>
  <si>
    <t xml:space="preserve"> - ไม้ยางขนาด 1.1/2" x 3" ยาว 2.50 - 6.00 เมตร</t>
  </si>
  <si>
    <t xml:space="preserve"> -  ตะปู</t>
  </si>
  <si>
    <t xml:space="preserve">  *</t>
  </si>
  <si>
    <r>
      <t xml:space="preserve">  ไม้แบบงานอย่างง่ายหรือไม้แบบ(2) </t>
    </r>
    <r>
      <rPr>
        <sz val="16"/>
        <rFont val="TH SarabunPSK"/>
        <family val="2"/>
      </rPr>
      <t>ใช้ได้ 5 ครั้ง</t>
    </r>
  </si>
  <si>
    <t xml:space="preserve"> - ไม้ค้ำยันไม้แบบ</t>
  </si>
  <si>
    <t>ต้น</t>
  </si>
  <si>
    <t xml:space="preserve"> -  น้ำมันทาผิวไม้</t>
  </si>
  <si>
    <t>ใช้งานได้ 5 ครั้ง</t>
  </si>
  <si>
    <t>ราคาไม้แบบที่ใช้</t>
  </si>
  <si>
    <t xml:space="preserve">บาท/ลบ.ม. </t>
  </si>
  <si>
    <t xml:space="preserve">งานรางระบายน้ำ คสล. </t>
  </si>
  <si>
    <t>คอนกรีต</t>
  </si>
  <si>
    <t>ลบม  @</t>
  </si>
  <si>
    <t>กก.  @</t>
  </si>
  <si>
    <t>เหล็กเสริม RBØ 9 มม.</t>
  </si>
  <si>
    <t>ลวดผูกเหล็ก</t>
  </si>
  <si>
    <t>ไม้แบบ 1</t>
  </si>
  <si>
    <t>ตร.ม.  @</t>
  </si>
  <si>
    <r>
      <t xml:space="preserve">  ไม้แบบงานอย่างง่ายหรือไม้แบบ(1) </t>
    </r>
    <r>
      <rPr>
        <sz val="16"/>
        <rFont val="TH SarabunPSK"/>
        <family val="2"/>
      </rPr>
      <t>ใช้ได้ 4 ครั้ง</t>
    </r>
  </si>
  <si>
    <t>ใช้งานได้ 4 ครั้ง</t>
  </si>
  <si>
    <t>ลบ.ม.  @</t>
  </si>
  <si>
    <t xml:space="preserve">เหล็กฉาก 50x50x6 มม. </t>
  </si>
  <si>
    <t>เมตร. @</t>
  </si>
  <si>
    <t>เหล็กฉาก 50x50x6 มม.</t>
  </si>
  <si>
    <t>ทรายหยาบอัดแน่น</t>
  </si>
  <si>
    <t xml:space="preserve">ก.  คิดจากความยาว  </t>
  </si>
  <si>
    <t xml:space="preserve">ข.  คิดจากความยาว  </t>
  </si>
  <si>
    <t>ฝา</t>
  </si>
  <si>
    <t>ไม้แบบ 2</t>
  </si>
  <si>
    <t>ท่อ PVC Ø 2"</t>
  </si>
  <si>
    <t>งานรางระบายน้ำ</t>
  </si>
  <si>
    <t>งานรางระบายน้ำ คสล.</t>
  </si>
  <si>
    <t>งานฝารางระบายน้ำ</t>
  </si>
  <si>
    <t>บาท/ฝา</t>
  </si>
  <si>
    <t>งานท่อระบายน้ำ คสล.</t>
  </si>
  <si>
    <t>งานท่อระบายน้ำ คสล. Ø 0.30 ม.</t>
  </si>
  <si>
    <t>เมตร  ชั้น -</t>
  </si>
  <si>
    <t>บาท  x</t>
  </si>
  <si>
    <t>รวมยอดยกไป</t>
  </si>
  <si>
    <t>รวมยอดยกมา</t>
  </si>
  <si>
    <t>ราคากลาง</t>
  </si>
  <si>
    <t xml:space="preserve">ขุดดิน </t>
  </si>
  <si>
    <t xml:space="preserve">ค่าดำเนินการและค่าเสื่อมบดอัด  </t>
  </si>
  <si>
    <t>1.  ข้อมูลงานคอนกรีต  Class  ต่างๆ  ตามมาตรฐานกรมทางหลวงชนบท</t>
  </si>
  <si>
    <t>2.  ข้อมูลงานคอนกรีต กรณีใช้คอนกรีตผสมเสร็จ  รูปลูกบาศก์/รูปทรงกระบอก</t>
  </si>
  <si>
    <t xml:space="preserve">   4. ค่าแรงผสม - เท</t>
  </si>
  <si>
    <t>ลงชื่อ...........................................................กรรมการกำหนดราคากลาง</t>
  </si>
  <si>
    <t>( นายสุรพงษ์   ศิลป์ท้าว)</t>
  </si>
  <si>
    <t>ลงชื่อ........................................................กรรมการกำหนดราคากลาง</t>
  </si>
  <si>
    <t xml:space="preserve">  </t>
  </si>
  <si>
    <t>แบบสรุปการเสนอราคางานก่อสร้างทาง สะพาน และท่อเหลี่ยม</t>
  </si>
  <si>
    <t>เสนอราคาเมื่อวันที่ ...........................................</t>
  </si>
  <si>
    <t>ระยะเวลาดำเนินการ ........................... วัน</t>
  </si>
  <si>
    <t>เขตฝนตกปกติ   ราคาน้ำมันโซล่าเฉลี่ยที่อำเภอเมือง ..............................  บาท/ลิตร</t>
  </si>
  <si>
    <t>(................................................)</t>
  </si>
  <si>
    <t>ประทับตราถ้ามี</t>
  </si>
  <si>
    <t>ลงชื่อ........................................................ผู้เสนอราคา</t>
  </si>
  <si>
    <t>ส่วนราชการ  : กองช่าง  องค์การบริหารส่วนตำบลป่ากลาง  อำเภอปัว  จังหวัดน่าน</t>
  </si>
  <si>
    <t>เหล็ก RB Ø 19 มม.</t>
  </si>
  <si>
    <t>เหล็ก RB Ø 6 มม.</t>
  </si>
  <si>
    <t xml:space="preserve">ลวดผูกเหล็ก </t>
  </si>
  <si>
    <t>บ/กก.</t>
  </si>
  <si>
    <t>พาณิชย์ ฯ แพร่</t>
  </si>
  <si>
    <t>พาณิชย์ ฯ น่าน</t>
  </si>
  <si>
    <t>ค่าเหล็กเสริม</t>
  </si>
  <si>
    <t>กก.   @</t>
  </si>
  <si>
    <t>/ 1000</t>
  </si>
  <si>
    <t xml:space="preserve">ค่าปูผิวคอนกรีต  </t>
  </si>
  <si>
    <t>ขนาด กว้าง</t>
  </si>
  <si>
    <r>
      <t>งานผิวทางปอร์ตแลนด์ซีเมนต์  (Portland  Cement  Concrete  Pavement)</t>
    </r>
    <r>
      <rPr>
        <sz val="16"/>
        <rFont val="TH SarabunPSK"/>
        <family val="2"/>
      </rPr>
      <t xml:space="preserve">  (ใช้เหล็กเส้นทั่วไป)</t>
    </r>
  </si>
  <si>
    <t>บาท/กก.</t>
  </si>
  <si>
    <t>ค่าเหล็ก Dowel Bar  (RB Ø 19 มม.)</t>
  </si>
  <si>
    <t xml:space="preserve">Joint  Filler  </t>
  </si>
  <si>
    <t xml:space="preserve">    /</t>
  </si>
  <si>
    <t xml:space="preserve">      ..............................................ผู้ประมาณราคา</t>
  </si>
  <si>
    <t xml:space="preserve">          .............................................เห็นชอบ</t>
  </si>
  <si>
    <t>(นายสุรเดช   พรมมีเดช)</t>
  </si>
  <si>
    <t xml:space="preserve">  ( นายผจญ   ทิปกะ)</t>
  </si>
  <si>
    <t>นายช่างโยธา  ชำนาญงาน</t>
  </si>
  <si>
    <t xml:space="preserve">   ปลัดองค์การบริหารส่วนตำบล</t>
  </si>
  <si>
    <t xml:space="preserve">              ..............................................ผู้ตรวจสอบ</t>
  </si>
  <si>
    <t xml:space="preserve">         ...............................................อนุมัติ</t>
  </si>
  <si>
    <t>(นายประกอบ  แสนทรงสิริ)</t>
  </si>
  <si>
    <t xml:space="preserve">  นายกองค์การบริหารส่วนตำบล</t>
  </si>
  <si>
    <t>(นายนัฏฐิชัย  ใจมั่น)</t>
  </si>
  <si>
    <t>เงินล่วงหน้าจ่าย   15  %</t>
  </si>
  <si>
    <t>ปรับราคาเหมาะสม</t>
  </si>
  <si>
    <t>ท่อ คสล. ขนาด Ø 0.40  ม.</t>
  </si>
  <si>
    <t>m.</t>
  </si>
  <si>
    <t>2.2 งานดินตัดคันทาง</t>
  </si>
  <si>
    <t>2.3  งานดินถมคันทาง</t>
  </si>
  <si>
    <t>3.1 งานทรายรองใต้ผิวทางคอนกรีต</t>
  </si>
  <si>
    <t>4.2 งานรอยต่อเผื่อขยายตามขวาง</t>
  </si>
  <si>
    <t>4.1 งานผิวทางปอร์ตแลนด์ซีเมนต์คอนกรีตหนา 0.15 ม.</t>
  </si>
  <si>
    <t>4.3 งานรอยต่อเผื่อหดตามขวาง</t>
  </si>
  <si>
    <t>4.4 งานรอยต่อตามยาว</t>
  </si>
  <si>
    <t>5.1 งานดินถมไหล่ทาง</t>
  </si>
  <si>
    <t>6.1 งานท่อระบายน้ำ คสล. Ø 0.40 ม.</t>
  </si>
  <si>
    <t>คิดเหล็กเสริม</t>
  </si>
  <si>
    <t xml:space="preserve"> =เหล็กเสริม</t>
  </si>
  <si>
    <t>งานขุดป่าถางตอ</t>
  </si>
  <si>
    <t>ค่าดำเนินการและค่าเสื่อมราคา (งานตัด-ขึ้นรูปคันทาง: ดิน-ตัก)</t>
  </si>
  <si>
    <t>ค่าดำเนินการและค่าเสื่อมราคา (งานตัด-ขึ้นรูปคันทาง: ดิน-ขุดตัด)</t>
  </si>
  <si>
    <t>ค่าดำเนินการและค่าเสื่อมราคา(งานคันทาง: ขุด-ขน)</t>
  </si>
  <si>
    <t>2.1 งานรื้อคันทางเดิมและบดทับ</t>
  </si>
  <si>
    <t>ค่าขนส่งวัสดุจากงานดินตัด  ระยะทางขนส่ง</t>
  </si>
  <si>
    <t>ค่าดำเนินการและค่าเสื่อมราคา(งานคันทาง: บดทับ</t>
  </si>
  <si>
    <t xml:space="preserve">ส่วนขยายตัว                   (..1+2) </t>
  </si>
  <si>
    <t>อัตราส่วนการยุบตัวเมื่อบดทับ     (...1+2+3)</t>
  </si>
  <si>
    <t>ค่าตัดแต่งบันได(งานตัดแต่งบันได: งานตัดแต่งบันได)</t>
  </si>
  <si>
    <t>ค่าดำเนินการและค่าเสื่อมราคา(งานคันทาง: บดทับ)</t>
  </si>
  <si>
    <t>หมายเหตุ :</t>
  </si>
  <si>
    <t>(ดินเหนียวมีค่า CBR น้อยกว่า 2)</t>
  </si>
  <si>
    <t>แนวเก่า</t>
  </si>
  <si>
    <t>แนวใหม่</t>
  </si>
  <si>
    <t>ส่วนยุบตัวของทรายถมคันทาง</t>
  </si>
  <si>
    <t xml:space="preserve">ดิน,ดินปนทราย ถมคันทาง </t>
  </si>
  <si>
    <t xml:space="preserve">ดินเหนียวถมคันทาง </t>
  </si>
  <si>
    <t>คิดจากความยาว</t>
  </si>
  <si>
    <t>คิดเหล็กเสริม Dowel Bar</t>
  </si>
  <si>
    <t xml:space="preserve">คิดจากความยาว  </t>
  </si>
  <si>
    <t xml:space="preserve"> </t>
  </si>
  <si>
    <t>เหล็ก DB Ø 12 มม.</t>
  </si>
  <si>
    <t>บาท/</t>
  </si>
  <si>
    <t xml:space="preserve">ค่าเหล็ก Tie Bar  (DB Ø 12 มม.) </t>
  </si>
  <si>
    <t>ค่าดำเนินการ+ค่าเสื่อมราคาเรื่องจักร(งานขุดป่าถางตอ: ขนาดกลาง)</t>
  </si>
  <si>
    <t xml:space="preserve">ส่วนยุบตัว          =                                 </t>
  </si>
  <si>
    <t>+</t>
  </si>
  <si>
    <t>คอนกรีตผสมเสร็จรูปลูกบาศก์ 280 กก./ตร.ซม.</t>
  </si>
  <si>
    <t>เหล็ก RB Ø 9 มม.</t>
  </si>
  <si>
    <t>RB Ø 6 มม.</t>
  </si>
  <si>
    <t>RB Ø 9 มม.</t>
  </si>
  <si>
    <t>เขตฝนตกปกติ   ราคาน้ำมันโซล่าเฉลี่ยที่อำเภอเมือง  26.00 - 26.99  บาท/ลิตร</t>
  </si>
  <si>
    <r>
      <t>ปริมาณงาน   : เท คสล.</t>
    </r>
    <r>
      <rPr>
        <sz val="16"/>
        <color indexed="8"/>
        <rFont val="TH SarabunPSK"/>
        <family val="2"/>
      </rPr>
      <t xml:space="preserve"> กว้าง 4.00 เมตร  ยาว 280 เมตร  หนา 0.15 เมตร </t>
    </r>
  </si>
  <si>
    <t>ที่ตั้งโครงการ : บ้านห้วยสะนาว  หมู่ที่ 2  ตำบลป่ากลาง  อำเภอปัว  จังหวัดน่าน</t>
  </si>
  <si>
    <t>โครงการ      : ก่อสร้างถนนคอนกรีตเสริมเหล็กเข้าสู่พื้นที่การเกษตรบ้านห้วยสะนาว  หมู่ที่ 2 (หมอน 4)</t>
  </si>
  <si>
    <t xml:space="preserve">แบบก่อสร้าง : แบบอบตป่ากลางเลขที่   17 /2563    จำนวน    3   แผ่น  </t>
  </si>
  <si>
    <t>ระยะเวลาดำเนินการ  45 วัน</t>
  </si>
  <si>
    <t>กำหนดราคาวันที่  17 ธันวาคม 2562</t>
  </si>
  <si>
    <t>( นายนัฏฐิชัย  ใจมั่น )</t>
  </si>
  <si>
    <t>( นายยอดยิ่ง  พิชยวาณิชย์ )</t>
  </si>
  <si>
    <t>วิศวกรโยธา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</si>
</sst>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3" formatCode="_-* #,##0.00_-;\-* #,##0.00_-;_-* &quot;-&quot;??_-;_-@_-"/>
    <numFmt numFmtId="187" formatCode="_(* #,##0.00_);_(* \(#,##0.00\);_(* &quot;-&quot;??_);_(@_)"/>
    <numFmt numFmtId="188" formatCode="t0.00E+00"/>
    <numFmt numFmtId="189" formatCode="&quot;฿&quot;t#,##0_);\(&quot;฿&quot;t#,##0\)"/>
    <numFmt numFmtId="190" formatCode="m/d/yy\ hh:mm"/>
    <numFmt numFmtId="191" formatCode="_(&quot;$&quot;* #,##0.000_);_(&quot;$&quot;* \(#,##0.000\);_(&quot;$&quot;* &quot;-&quot;??_);_(@_)"/>
    <numFmt numFmtId="192" formatCode="_(&quot;$&quot;* #,##0.0000_);_(&quot;$&quot;* \(#,##0.0000\);_(&quot;$&quot;* &quot;-&quot;??_);_(@_)"/>
    <numFmt numFmtId="193" formatCode="#,##0.0_);\(#,##0.0\)"/>
    <numFmt numFmtId="194" formatCode="0.0&quot;  &quot;"/>
    <numFmt numFmtId="195" formatCode="_-* #,##0.00000_-;\-* #,##0.00000_-;_-* &quot;-&quot;?????_-;_-@_-"/>
    <numFmt numFmtId="196" formatCode="#,##0.000000&quot; &quot;"/>
    <numFmt numFmtId="197" formatCode="#,###&quot;   &quot;"/>
    <numFmt numFmtId="198" formatCode="General_)"/>
    <numFmt numFmtId="199" formatCode="dd\-mm\-yy"/>
    <numFmt numFmtId="200" formatCode="_-* #,##0.0000_-;\-* #,##0.0000_-;_-* &quot;-&quot;??_-;_-@_-"/>
    <numFmt numFmtId="201" formatCode="#,##0.0000"/>
    <numFmt numFmtId="202" formatCode="0.000"/>
    <numFmt numFmtId="203" formatCode="0.0"/>
    <numFmt numFmtId="204" formatCode="_(* #,##0.000_);_(* \(#,##0.000\);_(* &quot;-&quot;??_);_(@_)"/>
    <numFmt numFmtId="205" formatCode="_-* #,##0_-;\-* #,##0_-;_-* &quot;-&quot;??_-;_-@_-"/>
    <numFmt numFmtId="206" formatCode="_-* #,##0.000_-;\-* #,##0.000_-;_-* &quot;-&quot;??_-;_-@_-"/>
  </numFmts>
  <fonts count="44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sz val="16"/>
      <color theme="1"/>
      <name val="AngsanaUPC"/>
      <family val="2"/>
      <charset val="222"/>
    </font>
    <font>
      <sz val="14"/>
      <name val="AngsanaUPC"/>
      <family val="1"/>
    </font>
    <font>
      <sz val="10"/>
      <name val="Arial"/>
      <family val="2"/>
    </font>
    <font>
      <sz val="7"/>
      <name val="Small Fonts"/>
      <family val="2"/>
    </font>
    <font>
      <sz val="16"/>
      <name val="TH SarabunPSK"/>
      <family val="2"/>
    </font>
    <font>
      <sz val="16"/>
      <name val="Angsana New"/>
      <family val="1"/>
    </font>
    <font>
      <sz val="14"/>
      <name val="SV Rojchana"/>
    </font>
    <font>
      <sz val="16"/>
      <name val="DilleniaUPC"/>
      <family val="1"/>
    </font>
    <font>
      <sz val="11"/>
      <name val="?? ?????"/>
      <family val="3"/>
      <charset val="255"/>
    </font>
    <font>
      <sz val="12"/>
      <name val="????"/>
      <charset val="136"/>
    </font>
    <font>
      <sz val="10"/>
      <name val="Helv"/>
      <family val="2"/>
    </font>
    <font>
      <sz val="11"/>
      <name val="??"/>
      <family val="1"/>
    </font>
    <font>
      <sz val="14"/>
      <name val="Cordia New"/>
      <family val="3"/>
    </font>
    <font>
      <sz val="12"/>
      <name val="Times New Roman"/>
      <family val="1"/>
    </font>
    <font>
      <sz val="12"/>
      <name val="Helv"/>
      <family val="2"/>
    </font>
    <font>
      <b/>
      <i/>
      <sz val="24"/>
      <color indexed="49"/>
      <name val="Arial Narrow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4"/>
      <name val="AngsanaUPC"/>
      <family val="1"/>
    </font>
    <font>
      <b/>
      <sz val="12"/>
      <name val="Arial"/>
      <family val="2"/>
    </font>
    <font>
      <b/>
      <i/>
      <sz val="18"/>
      <color indexed="28"/>
      <name val="AngsanaUPC"/>
      <family val="1"/>
    </font>
    <font>
      <sz val="14"/>
      <name val="AngsanaUPC"/>
      <family val="1"/>
      <charset val="222"/>
    </font>
    <font>
      <sz val="11"/>
      <name val="Times New Roman"/>
      <family val="1"/>
    </font>
    <font>
      <sz val="16"/>
      <name val="DilleniaUPC"/>
      <family val="1"/>
      <charset val="222"/>
    </font>
    <font>
      <sz val="14"/>
      <name val="Cordia New"/>
      <family val="2"/>
    </font>
    <font>
      <b/>
      <sz val="16"/>
      <name val="TH SarabunPSK"/>
      <family val="2"/>
    </font>
    <font>
      <sz val="16"/>
      <color rgb="FFFF0000"/>
      <name val="TH SarabunPSK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5"/>
      <name val="AngsanaUPC"/>
      <family val="1"/>
      <charset val="222"/>
    </font>
    <font>
      <b/>
      <u/>
      <sz val="16"/>
      <name val="TH SarabunPSK"/>
      <family val="2"/>
    </font>
    <font>
      <sz val="16"/>
      <color indexed="10"/>
      <name val="TH SarabunPSK"/>
      <family val="2"/>
    </font>
    <font>
      <b/>
      <i/>
      <sz val="16"/>
      <name val="TH SarabunPSK"/>
      <family val="2"/>
    </font>
    <font>
      <sz val="11"/>
      <color theme="1"/>
      <name val="TH SarabunPSK"/>
      <family val="2"/>
    </font>
    <font>
      <sz val="16"/>
      <color theme="1"/>
      <name val="Calibri"/>
      <family val="2"/>
    </font>
    <font>
      <sz val="17.600000000000001"/>
      <color theme="1"/>
      <name val="TH SarabunPSK"/>
      <family val="2"/>
    </font>
    <font>
      <sz val="16"/>
      <color indexed="18"/>
      <name val="TH SarabunPSK"/>
      <family val="2"/>
    </font>
    <font>
      <sz val="16"/>
      <color indexed="8"/>
      <name val="TH SarabunPSK"/>
      <family val="2"/>
    </font>
    <font>
      <sz val="16"/>
      <color rgb="FF0000FF"/>
      <name val="TH SarabunPSK"/>
      <family val="2"/>
    </font>
    <font>
      <b/>
      <sz val="16"/>
      <color rgb="FFFF0000"/>
      <name val="TH SarabunPSK"/>
      <family val="2"/>
    </font>
    <font>
      <b/>
      <u/>
      <sz val="16"/>
      <color theme="1"/>
      <name val="TH SarabunPSK"/>
      <family val="2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</borders>
  <cellStyleXfs count="106">
    <xf numFmtId="0" fontId="0" fillId="0" borderId="0"/>
    <xf numFmtId="43" fontId="1" fillId="0" borderId="0" applyFont="0" applyFill="0" applyBorder="0" applyAlignment="0" applyProtection="0"/>
    <xf numFmtId="0" fontId="9" fillId="0" borderId="0">
      <alignment vertical="center"/>
    </xf>
    <xf numFmtId="198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197" fontId="4" fillId="0" borderId="0" applyFont="0" applyFill="0" applyBorder="0" applyAlignment="0" applyProtection="0"/>
    <xf numFmtId="4" fontId="13" fillId="0" borderId="0" applyFont="0" applyFill="0" applyBorder="0" applyAlignment="0" applyProtection="0"/>
    <xf numFmtId="189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97" fontId="4" fillId="0" borderId="0" applyFont="0" applyFill="0" applyBorder="0" applyAlignment="0" applyProtection="0"/>
    <xf numFmtId="38" fontId="11" fillId="0" borderId="0" applyFont="0" applyFill="0" applyBorder="0" applyAlignment="0" applyProtection="0"/>
    <xf numFmtId="40" fontId="11" fillId="0" borderId="0" applyFont="0" applyFill="0" applyBorder="0" applyAlignment="0" applyProtection="0"/>
    <xf numFmtId="0" fontId="14" fillId="0" borderId="0"/>
    <xf numFmtId="0" fontId="17" fillId="0" borderId="0"/>
    <xf numFmtId="9" fontId="5" fillId="2" borderId="0"/>
    <xf numFmtId="0" fontId="18" fillId="3" borderId="13">
      <alignment horizontal="centerContinuous" vertical="top"/>
    </xf>
    <xf numFmtId="0" fontId="5" fillId="0" borderId="0" applyFill="0" applyBorder="0" applyAlignment="0"/>
    <xf numFmtId="193" fontId="13" fillId="0" borderId="0" applyFill="0" applyBorder="0" applyAlignment="0"/>
    <xf numFmtId="0" fontId="16" fillId="0" borderId="0" applyFill="0" applyBorder="0" applyAlignment="0"/>
    <xf numFmtId="0" fontId="12" fillId="0" borderId="0" applyFill="0" applyBorder="0" applyAlignment="0"/>
    <xf numFmtId="0" fontId="12" fillId="0" borderId="0" applyFill="0" applyBorder="0" applyAlignment="0"/>
    <xf numFmtId="191" fontId="4" fillId="0" borderId="0" applyFill="0" applyBorder="0" applyAlignment="0"/>
    <xf numFmtId="194" fontId="10" fillId="0" borderId="0" applyFill="0" applyBorder="0" applyAlignment="0"/>
    <xf numFmtId="193" fontId="13" fillId="0" borderId="0" applyFill="0" applyBorder="0" applyAlignment="0"/>
    <xf numFmtId="191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8" fillId="3" borderId="13">
      <alignment horizontal="centerContinuous" vertical="top"/>
    </xf>
    <xf numFmtId="193" fontId="13" fillId="0" borderId="0" applyFont="0" applyFill="0" applyBorder="0" applyAlignment="0" applyProtection="0"/>
    <xf numFmtId="14" fontId="20" fillId="0" borderId="0" applyFill="0" applyBorder="0" applyAlignment="0"/>
    <xf numFmtId="15" fontId="21" fillId="4" borderId="0">
      <alignment horizontal="centerContinuous"/>
    </xf>
    <xf numFmtId="191" fontId="4" fillId="0" borderId="0" applyFill="0" applyBorder="0" applyAlignment="0"/>
    <xf numFmtId="193" fontId="13" fillId="0" borderId="0" applyFill="0" applyBorder="0" applyAlignment="0"/>
    <xf numFmtId="191" fontId="4" fillId="0" borderId="0" applyFill="0" applyBorder="0" applyAlignment="0"/>
    <xf numFmtId="194" fontId="10" fillId="0" borderId="0" applyFill="0" applyBorder="0" applyAlignment="0"/>
    <xf numFmtId="193" fontId="13" fillId="0" borderId="0" applyFill="0" applyBorder="0" applyAlignment="0"/>
    <xf numFmtId="38" fontId="19" fillId="3" borderId="0" applyNumberFormat="0" applyBorder="0" applyAlignment="0" applyProtection="0"/>
    <xf numFmtId="0" fontId="22" fillId="0" borderId="14" applyNumberFormat="0" applyAlignment="0" applyProtection="0">
      <alignment horizontal="left" vertical="center"/>
    </xf>
    <xf numFmtId="0" fontId="22" fillId="0" borderId="15">
      <alignment horizontal="left" vertical="center"/>
    </xf>
    <xf numFmtId="10" fontId="19" fillId="5" borderId="1" applyNumberFormat="0" applyBorder="0" applyAlignment="0" applyProtection="0"/>
    <xf numFmtId="191" fontId="4" fillId="0" borderId="0" applyFill="0" applyBorder="0" applyAlignment="0"/>
    <xf numFmtId="193" fontId="13" fillId="0" borderId="0" applyFill="0" applyBorder="0" applyAlignment="0"/>
    <xf numFmtId="191" fontId="4" fillId="0" borderId="0" applyFill="0" applyBorder="0" applyAlignment="0"/>
    <xf numFmtId="194" fontId="10" fillId="0" borderId="0" applyFill="0" applyBorder="0" applyAlignment="0"/>
    <xf numFmtId="193" fontId="13" fillId="0" borderId="0" applyFill="0" applyBorder="0" applyAlignment="0"/>
    <xf numFmtId="37" fontId="6" fillId="0" borderId="0"/>
    <xf numFmtId="195" fontId="4" fillId="0" borderId="0"/>
    <xf numFmtId="0" fontId="4" fillId="0" borderId="0"/>
    <xf numFmtId="0" fontId="4" fillId="0" borderId="0"/>
    <xf numFmtId="0" fontId="15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0" fontId="5" fillId="0" borderId="0" applyFont="0" applyFill="0" applyBorder="0" applyAlignment="0" applyProtection="0"/>
    <xf numFmtId="191" fontId="4" fillId="0" borderId="0" applyFill="0" applyBorder="0" applyAlignment="0"/>
    <xf numFmtId="193" fontId="13" fillId="0" borderId="0" applyFill="0" applyBorder="0" applyAlignment="0"/>
    <xf numFmtId="191" fontId="4" fillId="0" borderId="0" applyFill="0" applyBorder="0" applyAlignment="0"/>
    <xf numFmtId="194" fontId="10" fillId="0" borderId="0" applyFill="0" applyBorder="0" applyAlignment="0"/>
    <xf numFmtId="193" fontId="13" fillId="0" borderId="0" applyFill="0" applyBorder="0" applyAlignment="0"/>
    <xf numFmtId="0" fontId="23" fillId="2" borderId="0"/>
    <xf numFmtId="49" fontId="20" fillId="0" borderId="0" applyFill="0" applyBorder="0" applyAlignment="0"/>
    <xf numFmtId="0" fontId="12" fillId="0" borderId="0" applyFill="0" applyBorder="0" applyAlignment="0"/>
    <xf numFmtId="0" fontId="12" fillId="0" borderId="0" applyFill="0" applyBorder="0" applyAlignment="0"/>
    <xf numFmtId="190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0" fontId="3" fillId="0" borderId="0"/>
    <xf numFmtId="188" fontId="26" fillId="0" borderId="0" applyFont="0" applyFill="0" applyBorder="0" applyAlignment="0" applyProtection="0"/>
    <xf numFmtId="191" fontId="24" fillId="0" borderId="0" applyFill="0" applyBorder="0" applyAlignment="0"/>
    <xf numFmtId="194" fontId="26" fillId="0" borderId="0" applyFill="0" applyBorder="0" applyAlignment="0"/>
    <xf numFmtId="191" fontId="24" fillId="0" borderId="0" applyFont="0" applyFill="0" applyBorder="0" applyAlignment="0" applyProtection="0"/>
    <xf numFmtId="191" fontId="24" fillId="0" borderId="0" applyFill="0" applyBorder="0" applyAlignment="0"/>
    <xf numFmtId="191" fontId="24" fillId="0" borderId="0" applyFill="0" applyBorder="0" applyAlignment="0"/>
    <xf numFmtId="194" fontId="26" fillId="0" borderId="0" applyFill="0" applyBorder="0" applyAlignment="0"/>
    <xf numFmtId="191" fontId="24" fillId="0" borderId="0" applyFill="0" applyBorder="0" applyAlignment="0"/>
    <xf numFmtId="191" fontId="24" fillId="0" borderId="0" applyFill="0" applyBorder="0" applyAlignment="0"/>
    <xf numFmtId="194" fontId="26" fillId="0" borderId="0" applyFill="0" applyBorder="0" applyAlignment="0"/>
    <xf numFmtId="0" fontId="4" fillId="0" borderId="0"/>
    <xf numFmtId="0" fontId="25" fillId="0" borderId="0"/>
    <xf numFmtId="0" fontId="3" fillId="0" borderId="0"/>
    <xf numFmtId="0" fontId="4" fillId="0" borderId="0"/>
    <xf numFmtId="191" fontId="24" fillId="0" borderId="0" applyFill="0" applyBorder="0" applyAlignment="0"/>
    <xf numFmtId="191" fontId="24" fillId="0" borderId="0" applyFill="0" applyBorder="0" applyAlignment="0"/>
    <xf numFmtId="194" fontId="26" fillId="0" borderId="0" applyFill="0" applyBorder="0" applyAlignment="0"/>
    <xf numFmtId="187" fontId="24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5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9" fontId="5" fillId="0" borderId="0" applyFont="0" applyFill="0" applyBorder="0" applyAlignment="0" applyProtection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32" fillId="0" borderId="0"/>
  </cellStyleXfs>
  <cellXfs count="36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80" applyFont="1"/>
    <xf numFmtId="0" fontId="7" fillId="0" borderId="11" xfId="0" applyFont="1" applyBorder="1"/>
    <xf numFmtId="0" fontId="7" fillId="0" borderId="0" xfId="0" applyFont="1"/>
    <xf numFmtId="0" fontId="7" fillId="0" borderId="0" xfId="0" applyFont="1" applyBorder="1"/>
    <xf numFmtId="0" fontId="7" fillId="0" borderId="0" xfId="0" applyFont="1" applyAlignment="1">
      <alignment horizontal="left"/>
    </xf>
    <xf numFmtId="0" fontId="28" fillId="0" borderId="0" xfId="0" applyFont="1"/>
    <xf numFmtId="0" fontId="28" fillId="0" borderId="0" xfId="0" applyFont="1" applyAlignment="1">
      <alignment horizontal="right"/>
    </xf>
    <xf numFmtId="0" fontId="7" fillId="0" borderId="0" xfId="0" applyFont="1" applyAlignment="1"/>
    <xf numFmtId="4" fontId="28" fillId="0" borderId="2" xfId="104" applyNumberFormat="1" applyFont="1" applyBorder="1" applyAlignment="1">
      <alignment horizontal="center" vertical="center"/>
    </xf>
    <xf numFmtId="4" fontId="28" fillId="0" borderId="4" xfId="104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/>
    </xf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9" xfId="0" applyFont="1" applyBorder="1" applyAlignment="1">
      <alignment horizontal="center" vertical="center"/>
    </xf>
    <xf numFmtId="43" fontId="7" fillId="0" borderId="3" xfId="1" applyFont="1" applyBorder="1" applyAlignment="1">
      <alignment horizontal="right" vertical="center"/>
    </xf>
    <xf numFmtId="43" fontId="7" fillId="0" borderId="3" xfId="1" applyFont="1" applyBorder="1" applyAlignment="1">
      <alignment vertical="center"/>
    </xf>
    <xf numFmtId="43" fontId="7" fillId="0" borderId="2" xfId="1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9" xfId="0" applyFont="1" applyBorder="1" applyAlignment="1">
      <alignment vertical="center"/>
    </xf>
    <xf numFmtId="200" fontId="7" fillId="0" borderId="3" xfId="1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43" fontId="7" fillId="0" borderId="0" xfId="1" applyFont="1" applyBorder="1" applyAlignment="1">
      <alignment horizontal="right" vertical="center"/>
    </xf>
    <xf numFmtId="43" fontId="7" fillId="0" borderId="4" xfId="1" applyFont="1" applyBorder="1" applyAlignment="1">
      <alignment vertical="center"/>
    </xf>
    <xf numFmtId="0" fontId="28" fillId="0" borderId="0" xfId="0" applyFont="1" applyBorder="1" applyAlignment="1">
      <alignment horizontal="right"/>
    </xf>
    <xf numFmtId="0" fontId="28" fillId="0" borderId="0" xfId="0" applyFont="1" applyBorder="1"/>
    <xf numFmtId="201" fontId="7" fillId="0" borderId="0" xfId="0" applyNumberFormat="1" applyFont="1" applyBorder="1" applyAlignment="1">
      <alignment horizontal="right" vertical="center"/>
    </xf>
    <xf numFmtId="0" fontId="7" fillId="0" borderId="0" xfId="105" applyFont="1"/>
    <xf numFmtId="200" fontId="7" fillId="0" borderId="4" xfId="1" applyNumberFormat="1" applyFont="1" applyBorder="1" applyAlignment="1">
      <alignment vertical="center"/>
    </xf>
    <xf numFmtId="43" fontId="7" fillId="0" borderId="8" xfId="1" applyFont="1" applyBorder="1" applyAlignment="1">
      <alignment vertical="center"/>
    </xf>
    <xf numFmtId="4" fontId="2" fillId="0" borderId="0" xfId="0" applyNumberFormat="1" applyFont="1"/>
    <xf numFmtId="201" fontId="7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/>
    <xf numFmtId="0" fontId="7" fillId="0" borderId="0" xfId="0" applyFont="1" applyBorder="1" applyAlignment="1">
      <alignment horizontal="center"/>
    </xf>
    <xf numFmtId="0" fontId="7" fillId="0" borderId="0" xfId="0" applyFont="1" applyProtection="1">
      <protection hidden="1"/>
    </xf>
    <xf numFmtId="0" fontId="7" fillId="0" borderId="0" xfId="0" applyFont="1" applyAlignment="1" applyProtection="1">
      <alignment horizontal="right"/>
      <protection hidden="1"/>
    </xf>
    <xf numFmtId="0" fontId="7" fillId="0" borderId="0" xfId="0" applyFont="1" applyAlignment="1" applyProtection="1">
      <protection hidden="1"/>
    </xf>
    <xf numFmtId="43" fontId="2" fillId="0" borderId="0" xfId="1" applyFont="1" applyBorder="1" applyAlignment="1">
      <alignment horizontal="right" indent="1"/>
    </xf>
    <xf numFmtId="43" fontId="7" fillId="0" borderId="0" xfId="1" applyFont="1" applyFill="1" applyBorder="1"/>
    <xf numFmtId="0" fontId="7" fillId="0" borderId="0" xfId="0" quotePrefix="1" applyFont="1" applyAlignment="1" applyProtection="1">
      <alignment horizontal="left"/>
      <protection hidden="1"/>
    </xf>
    <xf numFmtId="43" fontId="2" fillId="0" borderId="11" xfId="1" applyFont="1" applyBorder="1" applyAlignment="1">
      <alignment horizontal="right" indent="1"/>
    </xf>
    <xf numFmtId="0" fontId="7" fillId="0" borderId="0" xfId="0" applyFont="1" applyAlignment="1">
      <alignment horizontal="center"/>
    </xf>
    <xf numFmtId="0" fontId="28" fillId="0" borderId="0" xfId="1" applyNumberFormat="1" applyFont="1" applyFill="1" applyAlignment="1">
      <alignment horizontal="center"/>
    </xf>
    <xf numFmtId="0" fontId="28" fillId="0" borderId="11" xfId="0" applyFont="1" applyBorder="1"/>
    <xf numFmtId="4" fontId="7" fillId="0" borderId="0" xfId="0" applyNumberFormat="1" applyFont="1" applyBorder="1"/>
    <xf numFmtId="0" fontId="7" fillId="0" borderId="0" xfId="0" applyFont="1" applyFill="1"/>
    <xf numFmtId="43" fontId="7" fillId="0" borderId="0" xfId="1" applyFont="1" applyBorder="1" applyAlignment="1">
      <alignment horizontal="right" vertical="center" indent="1"/>
    </xf>
    <xf numFmtId="0" fontId="33" fillId="0" borderId="0" xfId="0" applyFont="1"/>
    <xf numFmtId="4" fontId="7" fillId="0" borderId="0" xfId="0" applyNumberFormat="1" applyFont="1" applyFill="1" applyBorder="1"/>
    <xf numFmtId="2" fontId="7" fillId="0" borderId="0" xfId="0" applyNumberFormat="1" applyFont="1" applyFill="1" applyBorder="1" applyAlignment="1"/>
    <xf numFmtId="0" fontId="7" fillId="0" borderId="0" xfId="0" applyFont="1" applyAlignment="1">
      <alignment horizontal="right"/>
    </xf>
    <xf numFmtId="43" fontId="29" fillId="7" borderId="16" xfId="0" applyNumberFormat="1" applyFont="1" applyFill="1" applyBorder="1"/>
    <xf numFmtId="0" fontId="35" fillId="0" borderId="0" xfId="0" applyFont="1"/>
    <xf numFmtId="4" fontId="7" fillId="0" borderId="0" xfId="0" applyNumberFormat="1" applyFont="1"/>
    <xf numFmtId="2" fontId="7" fillId="0" borderId="11" xfId="0" applyNumberFormat="1" applyFont="1" applyBorder="1"/>
    <xf numFmtId="0" fontId="28" fillId="0" borderId="0" xfId="0" applyFont="1" applyAlignment="1">
      <alignment horizontal="center"/>
    </xf>
    <xf numFmtId="4" fontId="2" fillId="0" borderId="11" xfId="1" applyNumberFormat="1" applyFont="1" applyBorder="1" applyAlignment="1">
      <alignment horizontal="right" indent="1"/>
    </xf>
    <xf numFmtId="0" fontId="7" fillId="0" borderId="0" xfId="90" applyFont="1"/>
    <xf numFmtId="0" fontId="33" fillId="0" borderId="0" xfId="90" applyFont="1"/>
    <xf numFmtId="0" fontId="33" fillId="0" borderId="0" xfId="90" applyFont="1" applyFill="1" applyAlignment="1">
      <alignment horizontal="center"/>
    </xf>
    <xf numFmtId="0" fontId="28" fillId="0" borderId="0" xfId="90" applyFont="1" applyAlignment="1">
      <alignment horizontal="center"/>
    </xf>
    <xf numFmtId="203" fontId="28" fillId="0" borderId="0" xfId="90" applyNumberFormat="1" applyFont="1" applyFill="1" applyAlignment="1">
      <alignment horizontal="center"/>
    </xf>
    <xf numFmtId="0" fontId="28" fillId="0" borderId="0" xfId="90" applyFont="1"/>
    <xf numFmtId="0" fontId="36" fillId="0" borderId="0" xfId="0" applyFont="1"/>
    <xf numFmtId="0" fontId="7" fillId="0" borderId="0" xfId="90" applyFont="1" applyBorder="1" applyAlignment="1">
      <alignment horizontal="center"/>
    </xf>
    <xf numFmtId="0" fontId="7" fillId="0" borderId="0" xfId="90" applyFont="1" applyAlignment="1">
      <alignment horizontal="center"/>
    </xf>
    <xf numFmtId="0" fontId="33" fillId="0" borderId="0" xfId="90" applyFont="1" applyBorder="1" applyAlignment="1">
      <alignment horizontal="center"/>
    </xf>
    <xf numFmtId="0" fontId="7" fillId="0" borderId="0" xfId="90" applyFont="1" applyBorder="1" applyAlignment="1"/>
    <xf numFmtId="0" fontId="7" fillId="0" borderId="0" xfId="90" applyFont="1" applyAlignment="1">
      <alignment horizontal="left"/>
    </xf>
    <xf numFmtId="4" fontId="7" fillId="0" borderId="0" xfId="90" applyNumberFormat="1" applyFont="1" applyFill="1" applyBorder="1" applyAlignment="1"/>
    <xf numFmtId="2" fontId="7" fillId="0" borderId="0" xfId="90" applyNumberFormat="1" applyFont="1" applyBorder="1" applyAlignment="1"/>
    <xf numFmtId="0" fontId="7" fillId="0" borderId="0" xfId="90" applyFont="1" applyBorder="1"/>
    <xf numFmtId="4" fontId="7" fillId="0" borderId="22" xfId="90" applyNumberFormat="1" applyFont="1" applyFill="1" applyBorder="1" applyAlignment="1">
      <alignment horizontal="center"/>
    </xf>
    <xf numFmtId="2" fontId="7" fillId="0" borderId="0" xfId="90" applyNumberFormat="1" applyFont="1" applyBorder="1" applyAlignment="1">
      <alignment horizontal="center"/>
    </xf>
    <xf numFmtId="0" fontId="7" fillId="0" borderId="0" xfId="90" applyFont="1" applyFill="1" applyBorder="1" applyAlignment="1">
      <alignment horizontal="center"/>
    </xf>
    <xf numFmtId="0" fontId="7" fillId="0" borderId="0" xfId="90" applyFont="1" applyFill="1" applyBorder="1"/>
    <xf numFmtId="187" fontId="7" fillId="0" borderId="0" xfId="1" applyNumberFormat="1" applyFont="1" applyBorder="1" applyAlignment="1">
      <alignment horizontal="center"/>
    </xf>
    <xf numFmtId="0" fontId="7" fillId="0" borderId="22" xfId="90" applyFont="1" applyBorder="1"/>
    <xf numFmtId="0" fontId="7" fillId="0" borderId="13" xfId="90" applyFont="1" applyBorder="1" applyAlignment="1">
      <alignment horizontal="center"/>
    </xf>
    <xf numFmtId="0" fontId="7" fillId="0" borderId="1" xfId="90" applyFont="1" applyBorder="1" applyAlignment="1">
      <alignment horizontal="center"/>
    </xf>
    <xf numFmtId="0" fontId="7" fillId="0" borderId="8" xfId="90" applyFont="1" applyBorder="1" applyAlignment="1"/>
    <xf numFmtId="187" fontId="7" fillId="0" borderId="23" xfId="90" applyNumberFormat="1" applyFont="1" applyBorder="1" applyAlignment="1">
      <alignment horizontal="center"/>
    </xf>
    <xf numFmtId="187" fontId="7" fillId="0" borderId="13" xfId="1" applyNumberFormat="1" applyFont="1" applyBorder="1" applyAlignment="1">
      <alignment horizontal="center"/>
    </xf>
    <xf numFmtId="187" fontId="7" fillId="0" borderId="1" xfId="1" applyNumberFormat="1" applyFont="1" applyBorder="1" applyAlignment="1"/>
    <xf numFmtId="187" fontId="7" fillId="0" borderId="21" xfId="90" applyNumberFormat="1" applyFont="1" applyBorder="1" applyAlignment="1">
      <alignment horizontal="center"/>
    </xf>
    <xf numFmtId="0" fontId="7" fillId="0" borderId="10" xfId="90" applyFont="1" applyBorder="1" applyAlignment="1"/>
    <xf numFmtId="0" fontId="7" fillId="0" borderId="11" xfId="90" applyFont="1" applyBorder="1"/>
    <xf numFmtId="0" fontId="7" fillId="0" borderId="11" xfId="90" applyFont="1" applyBorder="1" applyAlignment="1">
      <alignment horizontal="center"/>
    </xf>
    <xf numFmtId="0" fontId="7" fillId="6" borderId="13" xfId="90" applyFont="1" applyFill="1" applyBorder="1" applyAlignment="1">
      <alignment horizontal="center"/>
    </xf>
    <xf numFmtId="0" fontId="7" fillId="6" borderId="1" xfId="90" applyFont="1" applyFill="1" applyBorder="1" applyAlignment="1">
      <alignment horizontal="center"/>
    </xf>
    <xf numFmtId="187" fontId="7" fillId="0" borderId="1" xfId="1" applyNumberFormat="1" applyFont="1" applyBorder="1" applyAlignment="1">
      <alignment horizontal="center"/>
    </xf>
    <xf numFmtId="203" fontId="28" fillId="6" borderId="19" xfId="90" applyNumberFormat="1" applyFont="1" applyFill="1" applyBorder="1" applyAlignment="1">
      <alignment horizontal="center"/>
    </xf>
    <xf numFmtId="43" fontId="7" fillId="0" borderId="0" xfId="1" applyFont="1" applyBorder="1" applyAlignment="1">
      <alignment vertical="center"/>
    </xf>
    <xf numFmtId="0" fontId="7" fillId="0" borderId="0" xfId="90" applyFont="1" applyAlignment="1">
      <alignment horizontal="right"/>
    </xf>
    <xf numFmtId="43" fontId="7" fillId="0" borderId="11" xfId="1" applyNumberFormat="1" applyFont="1" applyBorder="1"/>
    <xf numFmtId="43" fontId="28" fillId="0" borderId="24" xfId="1" applyFont="1" applyBorder="1" applyAlignment="1">
      <alignment vertical="center"/>
    </xf>
    <xf numFmtId="0" fontId="7" fillId="0" borderId="0" xfId="0" applyFont="1" applyBorder="1" applyAlignment="1">
      <alignment horizontal="center"/>
    </xf>
    <xf numFmtId="0" fontId="39" fillId="0" borderId="0" xfId="0" applyFont="1" applyAlignment="1" applyProtection="1">
      <protection hidden="1"/>
    </xf>
    <xf numFmtId="0" fontId="40" fillId="0" borderId="0" xfId="0" applyFont="1" applyAlignment="1" applyProtection="1">
      <protection hidden="1"/>
    </xf>
    <xf numFmtId="0" fontId="7" fillId="0" borderId="0" xfId="0" applyFont="1" applyAlignment="1" applyProtection="1">
      <alignment horizontal="center"/>
      <protection hidden="1"/>
    </xf>
    <xf numFmtId="204" fontId="7" fillId="0" borderId="20" xfId="1" applyNumberFormat="1" applyFont="1" applyFill="1" applyBorder="1" applyAlignment="1" applyProtection="1">
      <protection hidden="1"/>
    </xf>
    <xf numFmtId="204" fontId="7" fillId="0" borderId="20" xfId="1" applyNumberFormat="1" applyFont="1" applyBorder="1" applyAlignment="1"/>
    <xf numFmtId="187" fontId="2" fillId="0" borderId="11" xfId="1" applyNumberFormat="1" applyFont="1" applyBorder="1" applyAlignment="1">
      <alignment horizontal="right" indent="1"/>
    </xf>
    <xf numFmtId="187" fontId="7" fillId="0" borderId="20" xfId="1" applyNumberFormat="1" applyFont="1" applyBorder="1" applyAlignment="1"/>
    <xf numFmtId="187" fontId="7" fillId="6" borderId="20" xfId="1" applyNumberFormat="1" applyFont="1" applyFill="1" applyBorder="1" applyAlignment="1" applyProtection="1">
      <protection hidden="1"/>
    </xf>
    <xf numFmtId="187" fontId="29" fillId="7" borderId="16" xfId="0" applyNumberFormat="1" applyFont="1" applyFill="1" applyBorder="1"/>
    <xf numFmtId="187" fontId="7" fillId="0" borderId="20" xfId="1" applyNumberFormat="1" applyFont="1" applyBorder="1" applyAlignment="1" applyProtection="1">
      <protection hidden="1"/>
    </xf>
    <xf numFmtId="0" fontId="28" fillId="0" borderId="3" xfId="0" applyFont="1" applyBorder="1" applyAlignment="1">
      <alignment horizontal="center" vertical="center"/>
    </xf>
    <xf numFmtId="0" fontId="28" fillId="0" borderId="6" xfId="0" applyFont="1" applyBorder="1" applyAlignment="1">
      <alignment horizontal="left" vertical="center"/>
    </xf>
    <xf numFmtId="0" fontId="28" fillId="0" borderId="0" xfId="0" applyFont="1" applyBorder="1" applyAlignment="1">
      <alignment horizontal="left" vertical="center"/>
    </xf>
    <xf numFmtId="43" fontId="7" fillId="0" borderId="9" xfId="1" applyFont="1" applyBorder="1" applyAlignment="1">
      <alignment vertical="center"/>
    </xf>
    <xf numFmtId="43" fontId="7" fillId="0" borderId="5" xfId="1" applyFont="1" applyBorder="1" applyAlignment="1">
      <alignment vertical="center"/>
    </xf>
    <xf numFmtId="43" fontId="7" fillId="0" borderId="7" xfId="1" applyFont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43" fontId="7" fillId="0" borderId="11" xfId="1" applyFont="1" applyBorder="1" applyAlignment="1">
      <alignment horizontal="right" vertical="center"/>
    </xf>
    <xf numFmtId="43" fontId="7" fillId="0" borderId="10" xfId="1" applyFont="1" applyBorder="1" applyAlignment="1">
      <alignment vertical="center"/>
    </xf>
    <xf numFmtId="43" fontId="7" fillId="0" borderId="12" xfId="1" applyFont="1" applyBorder="1" applyAlignment="1">
      <alignment vertical="center"/>
    </xf>
    <xf numFmtId="43" fontId="28" fillId="0" borderId="26" xfId="1" applyNumberFormat="1" applyFont="1" applyBorder="1"/>
    <xf numFmtId="43" fontId="28" fillId="0" borderId="1" xfId="1" applyNumberFormat="1" applyFont="1" applyBorder="1"/>
    <xf numFmtId="0" fontId="7" fillId="0" borderId="0" xfId="0" applyFont="1" applyAlignment="1" applyProtection="1">
      <alignment horizontal="left"/>
      <protection hidden="1"/>
    </xf>
    <xf numFmtId="43" fontId="2" fillId="0" borderId="20" xfId="1" applyFont="1" applyBorder="1" applyAlignment="1">
      <alignment horizontal="right" indent="1"/>
    </xf>
    <xf numFmtId="43" fontId="2" fillId="0" borderId="0" xfId="1" applyFont="1" applyBorder="1" applyAlignment="1">
      <alignment horizontal="center"/>
    </xf>
    <xf numFmtId="0" fontId="28" fillId="0" borderId="0" xfId="0" applyNumberFormat="1" applyFont="1" applyBorder="1" applyAlignment="1">
      <alignment horizontal="center"/>
    </xf>
    <xf numFmtId="205" fontId="7" fillId="0" borderId="0" xfId="1" applyNumberFormat="1" applyFont="1" applyBorder="1"/>
    <xf numFmtId="43" fontId="29" fillId="0" borderId="0" xfId="1" applyFont="1" applyBorder="1" applyAlignment="1">
      <alignment horizontal="center"/>
    </xf>
    <xf numFmtId="0" fontId="7" fillId="0" borderId="0" xfId="0" applyFont="1" applyBorder="1" applyAlignment="1"/>
    <xf numFmtId="0" fontId="28" fillId="0" borderId="0" xfId="0" applyFont="1" applyBorder="1" applyAlignment="1">
      <alignment horizontal="center"/>
    </xf>
    <xf numFmtId="187" fontId="7" fillId="0" borderId="0" xfId="1" applyNumberFormat="1" applyFont="1" applyBorder="1"/>
    <xf numFmtId="43" fontId="7" fillId="0" borderId="0" xfId="1" applyFont="1" applyFill="1" applyBorder="1" applyAlignment="1"/>
    <xf numFmtId="187" fontId="7" fillId="0" borderId="0" xfId="1" applyNumberFormat="1" applyFont="1" applyBorder="1" applyAlignment="1"/>
    <xf numFmtId="0" fontId="7" fillId="0" borderId="0" xfId="0" applyFont="1" applyBorder="1" applyAlignment="1">
      <alignment horizontal="right"/>
    </xf>
    <xf numFmtId="43" fontId="41" fillId="0" borderId="0" xfId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43" fontId="29" fillId="7" borderId="24" xfId="0" applyNumberFormat="1" applyFont="1" applyFill="1" applyBorder="1"/>
    <xf numFmtId="43" fontId="7" fillId="0" borderId="0" xfId="1" applyNumberFormat="1" applyFont="1" applyBorder="1"/>
    <xf numFmtId="187" fontId="7" fillId="6" borderId="0" xfId="1" applyNumberFormat="1" applyFont="1" applyFill="1" applyBorder="1" applyAlignment="1"/>
    <xf numFmtId="43" fontId="7" fillId="0" borderId="15" xfId="1" applyFont="1" applyBorder="1" applyAlignment="1">
      <alignment vertical="center"/>
    </xf>
    <xf numFmtId="43" fontId="28" fillId="0" borderId="0" xfId="1" applyFont="1" applyBorder="1" applyAlignment="1">
      <alignment vertical="center"/>
    </xf>
    <xf numFmtId="0" fontId="7" fillId="0" borderId="0" xfId="0" applyFont="1" applyBorder="1" applyAlignment="1">
      <alignment horizontal="center"/>
    </xf>
    <xf numFmtId="43" fontId="7" fillId="0" borderId="0" xfId="1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42" fillId="0" borderId="0" xfId="0" applyFont="1"/>
    <xf numFmtId="43" fontId="7" fillId="0" borderId="0" xfId="1" applyFont="1" applyBorder="1" applyAlignment="1">
      <alignment horizontal="right" indent="1"/>
    </xf>
    <xf numFmtId="0" fontId="7" fillId="0" borderId="0" xfId="0" applyFont="1" applyAlignment="1">
      <alignment horizontal="center"/>
    </xf>
    <xf numFmtId="2" fontId="7" fillId="6" borderId="19" xfId="90" applyNumberFormat="1" applyFont="1" applyFill="1" applyBorder="1" applyAlignment="1">
      <alignment horizontal="center"/>
    </xf>
    <xf numFmtId="43" fontId="7" fillId="0" borderId="0" xfId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8" fillId="0" borderId="0" xfId="90" applyFont="1" applyFill="1" applyAlignment="1">
      <alignment horizontal="center"/>
    </xf>
    <xf numFmtId="0" fontId="28" fillId="0" borderId="0" xfId="90" applyFont="1" applyFill="1"/>
    <xf numFmtId="203" fontId="28" fillId="0" borderId="0" xfId="90" applyNumberFormat="1" applyFont="1" applyFill="1" applyBorder="1" applyAlignment="1">
      <alignment horizontal="center"/>
    </xf>
    <xf numFmtId="43" fontId="2" fillId="0" borderId="0" xfId="0" applyNumberFormat="1" applyFont="1"/>
    <xf numFmtId="200" fontId="7" fillId="0" borderId="0" xfId="1" applyNumberFormat="1" applyFont="1" applyBorder="1" applyAlignment="1">
      <alignment vertical="center"/>
    </xf>
    <xf numFmtId="43" fontId="28" fillId="0" borderId="2" xfId="1" applyFont="1" applyBorder="1" applyAlignment="1">
      <alignment vertic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43" fontId="2" fillId="0" borderId="0" xfId="1" applyFont="1"/>
    <xf numFmtId="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" fontId="7" fillId="0" borderId="14" xfId="0" applyNumberFormat="1" applyFont="1" applyFill="1" applyBorder="1" applyAlignment="1">
      <alignment horizontal="center" vertical="center"/>
    </xf>
    <xf numFmtId="43" fontId="7" fillId="0" borderId="8" xfId="1" applyFont="1" applyBorder="1" applyAlignment="1">
      <alignment horizontal="center" vertical="center"/>
    </xf>
    <xf numFmtId="43" fontId="7" fillId="0" borderId="9" xfId="1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187" fontId="7" fillId="6" borderId="1" xfId="1" applyNumberFormat="1" applyFont="1" applyFill="1" applyBorder="1" applyAlignment="1"/>
    <xf numFmtId="187" fontId="7" fillId="6" borderId="13" xfId="1" applyNumberFormat="1" applyFont="1" applyFill="1" applyBorder="1" applyAlignment="1">
      <alignment horizontal="center"/>
    </xf>
    <xf numFmtId="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" fontId="7" fillId="0" borderId="14" xfId="0" applyNumberFormat="1" applyFont="1" applyFill="1" applyBorder="1" applyAlignment="1">
      <alignment horizontal="center" vertical="center"/>
    </xf>
    <xf numFmtId="43" fontId="7" fillId="0" borderId="8" xfId="1" applyFont="1" applyBorder="1" applyAlignment="1">
      <alignment horizontal="center" vertical="center"/>
    </xf>
    <xf numFmtId="43" fontId="7" fillId="0" borderId="9" xfId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3" xfId="0" applyFont="1" applyBorder="1" applyAlignment="1">
      <alignment horizontal="left"/>
    </xf>
    <xf numFmtId="0" fontId="2" fillId="0" borderId="23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43" fontId="7" fillId="6" borderId="27" xfId="1" applyFont="1" applyFill="1" applyBorder="1" applyAlignment="1">
      <alignment horizontal="center"/>
    </xf>
    <xf numFmtId="43" fontId="2" fillId="0" borderId="27" xfId="1" applyFont="1" applyBorder="1"/>
    <xf numFmtId="43" fontId="2" fillId="0" borderId="27" xfId="1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7" fillId="0" borderId="21" xfId="67" applyFont="1" applyBorder="1"/>
    <xf numFmtId="0" fontId="2" fillId="0" borderId="21" xfId="0" applyFont="1" applyBorder="1"/>
    <xf numFmtId="0" fontId="2" fillId="0" borderId="30" xfId="0" applyFont="1" applyBorder="1"/>
    <xf numFmtId="43" fontId="7" fillId="6" borderId="29" xfId="1" applyFont="1" applyFill="1" applyBorder="1"/>
    <xf numFmtId="43" fontId="2" fillId="0" borderId="29" xfId="1" applyFont="1" applyBorder="1"/>
    <xf numFmtId="43" fontId="2" fillId="0" borderId="29" xfId="1" applyFont="1" applyBorder="1" applyAlignment="1">
      <alignment horizontal="center"/>
    </xf>
    <xf numFmtId="0" fontId="7" fillId="0" borderId="21" xfId="98" applyFont="1" applyBorder="1"/>
    <xf numFmtId="0" fontId="7" fillId="0" borderId="21" xfId="100" applyFont="1" applyBorder="1"/>
    <xf numFmtId="43" fontId="29" fillId="6" borderId="29" xfId="1" applyFont="1" applyFill="1" applyBorder="1"/>
    <xf numFmtId="0" fontId="2" fillId="0" borderId="21" xfId="0" applyFont="1" applyBorder="1" applyAlignment="1">
      <alignment horizontal="left"/>
    </xf>
    <xf numFmtId="0" fontId="2" fillId="0" borderId="31" xfId="0" applyFont="1" applyBorder="1" applyAlignment="1">
      <alignment horizontal="left"/>
    </xf>
    <xf numFmtId="0" fontId="7" fillId="0" borderId="21" xfId="0" applyFont="1" applyBorder="1"/>
    <xf numFmtId="0" fontId="2" fillId="0" borderId="32" xfId="0" applyFont="1" applyBorder="1" applyAlignment="1">
      <alignment horizontal="center"/>
    </xf>
    <xf numFmtId="0" fontId="7" fillId="0" borderId="33" xfId="0" applyFont="1" applyBorder="1"/>
    <xf numFmtId="0" fontId="2" fillId="0" borderId="34" xfId="0" applyFont="1" applyBorder="1"/>
    <xf numFmtId="0" fontId="2" fillId="0" borderId="35" xfId="0" applyFont="1" applyBorder="1"/>
    <xf numFmtId="0" fontId="2" fillId="0" borderId="32" xfId="0" applyFont="1" applyBorder="1"/>
    <xf numFmtId="43" fontId="2" fillId="0" borderId="32" xfId="1" applyFont="1" applyBorder="1"/>
    <xf numFmtId="0" fontId="7" fillId="0" borderId="0" xfId="90" applyFont="1" applyAlignment="1">
      <alignment horizontal="center" vertical="center"/>
    </xf>
    <xf numFmtId="43" fontId="7" fillId="0" borderId="8" xfId="1" applyFont="1" applyBorder="1" applyAlignment="1">
      <alignment horizontal="center" vertical="center"/>
    </xf>
    <xf numFmtId="43" fontId="7" fillId="0" borderId="9" xfId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43" fontId="7" fillId="6" borderId="29" xfId="1" applyFont="1" applyFill="1" applyBorder="1" applyAlignment="1">
      <alignment horizontal="right" vertical="center" indent="1"/>
    </xf>
    <xf numFmtId="43" fontId="29" fillId="0" borderId="29" xfId="1" applyFont="1" applyFill="1" applyBorder="1"/>
    <xf numFmtId="0" fontId="2" fillId="0" borderId="0" xfId="0" applyFont="1" applyAlignment="1">
      <alignment horizontal="center"/>
    </xf>
    <xf numFmtId="43" fontId="7" fillId="0" borderId="8" xfId="1" applyFont="1" applyBorder="1" applyAlignment="1">
      <alignment horizontal="center" vertical="center"/>
    </xf>
    <xf numFmtId="43" fontId="7" fillId="0" borderId="9" xfId="1" applyFont="1" applyBorder="1" applyAlignment="1">
      <alignment horizontal="center" vertical="center"/>
    </xf>
    <xf numFmtId="0" fontId="28" fillId="0" borderId="6" xfId="0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0" fontId="28" fillId="0" borderId="4" xfId="0" applyFont="1" applyBorder="1" applyAlignment="1">
      <alignment horizontal="center" vertical="center"/>
    </xf>
    <xf numFmtId="187" fontId="2" fillId="0" borderId="0" xfId="0" applyNumberFormat="1" applyFont="1"/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9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90" applyFont="1" applyAlignment="1">
      <alignment horizontal="center"/>
    </xf>
    <xf numFmtId="43" fontId="7" fillId="0" borderId="0" xfId="0" applyNumberFormat="1" applyFont="1" applyAlignment="1">
      <alignment horizontal="center"/>
    </xf>
    <xf numFmtId="2" fontId="2" fillId="8" borderId="0" xfId="0" applyNumberFormat="1" applyFont="1" applyFill="1"/>
    <xf numFmtId="0" fontId="2" fillId="8" borderId="0" xfId="0" applyFont="1" applyFill="1"/>
    <xf numFmtId="43" fontId="7" fillId="6" borderId="19" xfId="1" applyFont="1" applyFill="1" applyBorder="1" applyAlignment="1">
      <alignment vertical="center"/>
    </xf>
    <xf numFmtId="0" fontId="2" fillId="0" borderId="0" xfId="0" applyFont="1" applyAlignment="1">
      <alignment horizontal="right"/>
    </xf>
    <xf numFmtId="187" fontId="7" fillId="0" borderId="0" xfId="0" applyNumberFormat="1" applyFont="1" applyAlignment="1" applyProtection="1">
      <alignment horizontal="right"/>
      <protection hidden="1"/>
    </xf>
    <xf numFmtId="204" fontId="7" fillId="0" borderId="0" xfId="1" applyNumberFormat="1" applyFont="1" applyFill="1" applyBorder="1" applyAlignment="1" applyProtection="1">
      <alignment horizontal="center"/>
      <protection hidden="1"/>
    </xf>
    <xf numFmtId="43" fontId="7" fillId="0" borderId="0" xfId="1" applyFont="1" applyFill="1" applyBorder="1" applyAlignment="1" applyProtection="1">
      <protection hidden="1"/>
    </xf>
    <xf numFmtId="43" fontId="7" fillId="7" borderId="16" xfId="1" applyFont="1" applyFill="1" applyBorder="1"/>
    <xf numFmtId="43" fontId="7" fillId="0" borderId="25" xfId="1" applyFont="1" applyFill="1" applyBorder="1" applyAlignment="1" applyProtection="1">
      <protection hidden="1"/>
    </xf>
    <xf numFmtId="43" fontId="7" fillId="0" borderId="25" xfId="1" applyFont="1" applyBorder="1" applyAlignment="1" applyProtection="1">
      <protection hidden="1"/>
    </xf>
    <xf numFmtId="43" fontId="7" fillId="0" borderId="0" xfId="1" applyFont="1"/>
    <xf numFmtId="43" fontId="7" fillId="0" borderId="20" xfId="1" applyFont="1" applyFill="1" applyBorder="1" applyAlignment="1"/>
    <xf numFmtId="43" fontId="7" fillId="0" borderId="11" xfId="1" applyFont="1" applyBorder="1"/>
    <xf numFmtId="43" fontId="28" fillId="7" borderId="24" xfId="1" applyFont="1" applyFill="1" applyBorder="1" applyAlignment="1">
      <alignment vertical="center"/>
    </xf>
    <xf numFmtId="0" fontId="33" fillId="0" borderId="0" xfId="0" applyFont="1" applyProtection="1">
      <protection hidden="1"/>
    </xf>
    <xf numFmtId="43" fontId="29" fillId="7" borderId="0" xfId="0" applyNumberFormat="1" applyFont="1" applyFill="1" applyBorder="1"/>
    <xf numFmtId="43" fontId="29" fillId="0" borderId="0" xfId="0" applyNumberFormat="1" applyFont="1" applyFill="1" applyBorder="1"/>
    <xf numFmtId="187" fontId="29" fillId="0" borderId="0" xfId="0" applyNumberFormat="1" applyFont="1" applyFill="1" applyBorder="1"/>
    <xf numFmtId="187" fontId="2" fillId="0" borderId="11" xfId="1" applyNumberFormat="1" applyFont="1" applyBorder="1" applyAlignment="1"/>
    <xf numFmtId="43" fontId="2" fillId="0" borderId="11" xfId="1" applyFont="1" applyBorder="1" applyAlignment="1"/>
    <xf numFmtId="187" fontId="7" fillId="6" borderId="25" xfId="1" applyNumberFormat="1" applyFont="1" applyFill="1" applyBorder="1" applyAlignment="1" applyProtection="1">
      <protection hidden="1"/>
    </xf>
    <xf numFmtId="204" fontId="7" fillId="6" borderId="25" xfId="1" applyNumberFormat="1" applyFont="1" applyFill="1" applyBorder="1" applyAlignment="1" applyProtection="1">
      <protection hidden="1"/>
    </xf>
    <xf numFmtId="204" fontId="7" fillId="6" borderId="20" xfId="1" applyNumberFormat="1" applyFont="1" applyFill="1" applyBorder="1" applyAlignment="1" applyProtection="1">
      <protection hidden="1"/>
    </xf>
    <xf numFmtId="43" fontId="7" fillId="6" borderId="20" xfId="1" applyFont="1" applyFill="1" applyBorder="1" applyAlignment="1" applyProtection="1">
      <protection hidden="1"/>
    </xf>
    <xf numFmtId="43" fontId="7" fillId="6" borderId="25" xfId="1" applyFont="1" applyFill="1" applyBorder="1" applyAlignment="1" applyProtection="1">
      <protection hidden="1"/>
    </xf>
    <xf numFmtId="43" fontId="29" fillId="0" borderId="36" xfId="0" applyNumberFormat="1" applyFont="1" applyFill="1" applyBorder="1" applyAlignment="1"/>
    <xf numFmtId="43" fontId="29" fillId="0" borderId="0" xfId="0" applyNumberFormat="1" applyFont="1" applyFill="1" applyBorder="1" applyAlignment="1"/>
    <xf numFmtId="0" fontId="43" fillId="0" borderId="0" xfId="0" applyFont="1"/>
    <xf numFmtId="43" fontId="7" fillId="0" borderId="0" xfId="1" applyNumberFormat="1" applyFont="1" applyFill="1" applyBorder="1" applyAlignment="1"/>
    <xf numFmtId="0" fontId="2" fillId="6" borderId="19" xfId="0" applyFont="1" applyFill="1" applyBorder="1"/>
    <xf numFmtId="4" fontId="2" fillId="0" borderId="11" xfId="1" applyNumberFormat="1" applyFont="1" applyBorder="1" applyAlignment="1"/>
    <xf numFmtId="43" fontId="7" fillId="6" borderId="21" xfId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43" fontId="7" fillId="0" borderId="0" xfId="0" applyNumberFormat="1" applyFont="1" applyAlignment="1">
      <alignment horizontal="center"/>
    </xf>
    <xf numFmtId="0" fontId="7" fillId="0" borderId="0" xfId="90" applyFont="1" applyAlignment="1">
      <alignment horizontal="center"/>
    </xf>
    <xf numFmtId="0" fontId="7" fillId="0" borderId="0" xfId="90" applyFont="1" applyAlignment="1">
      <alignment horizontal="center"/>
    </xf>
    <xf numFmtId="43" fontId="7" fillId="6" borderId="3" xfId="1" applyFont="1" applyFill="1" applyBorder="1" applyAlignment="1">
      <alignment horizontal="right" vertical="center"/>
    </xf>
    <xf numFmtId="0" fontId="29" fillId="0" borderId="0" xfId="0" applyFont="1"/>
    <xf numFmtId="0" fontId="7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3" fontId="7" fillId="0" borderId="8" xfId="1" applyFont="1" applyFill="1" applyBorder="1" applyAlignment="1">
      <alignment horizontal="center" vertical="center"/>
    </xf>
    <xf numFmtId="43" fontId="7" fillId="0" borderId="9" xfId="1" applyFont="1" applyFill="1" applyBorder="1" applyAlignment="1">
      <alignment horizontal="center" vertical="center"/>
    </xf>
    <xf numFmtId="43" fontId="7" fillId="0" borderId="8" xfId="1" applyFont="1" applyBorder="1" applyAlignment="1">
      <alignment horizontal="center" vertical="center"/>
    </xf>
    <xf numFmtId="43" fontId="7" fillId="0" borderId="9" xfId="1" applyFont="1" applyBorder="1" applyAlignment="1">
      <alignment horizontal="center" vertical="center"/>
    </xf>
    <xf numFmtId="201" fontId="7" fillId="6" borderId="17" xfId="0" applyNumberFormat="1" applyFont="1" applyFill="1" applyBorder="1" applyAlignment="1">
      <alignment horizontal="center" vertical="center"/>
    </xf>
    <xf numFmtId="201" fontId="7" fillId="6" borderId="14" xfId="0" applyNumberFormat="1" applyFont="1" applyFill="1" applyBorder="1" applyAlignment="1">
      <alignment horizontal="center" vertical="center"/>
    </xf>
    <xf numFmtId="201" fontId="7" fillId="6" borderId="18" xfId="0" applyNumberFormat="1" applyFont="1" applyFill="1" applyBorder="1" applyAlignment="1">
      <alignment horizontal="center" vertical="center"/>
    </xf>
    <xf numFmtId="4" fontId="7" fillId="0" borderId="17" xfId="0" applyNumberFormat="1" applyFont="1" applyFill="1" applyBorder="1" applyAlignment="1">
      <alignment horizontal="center" vertical="center"/>
    </xf>
    <xf numFmtId="4" fontId="7" fillId="0" borderId="14" xfId="0" applyNumberFormat="1" applyFont="1" applyFill="1" applyBorder="1" applyAlignment="1">
      <alignment horizontal="center" vertical="center"/>
    </xf>
    <xf numFmtId="4" fontId="7" fillId="0" borderId="18" xfId="0" applyNumberFormat="1" applyFont="1" applyFill="1" applyBorder="1" applyAlignment="1">
      <alignment horizontal="center" vertical="center"/>
    </xf>
    <xf numFmtId="0" fontId="28" fillId="0" borderId="2" xfId="104" applyFont="1" applyBorder="1" applyAlignment="1">
      <alignment horizontal="center" vertical="center"/>
    </xf>
    <xf numFmtId="0" fontId="28" fillId="0" borderId="4" xfId="104" applyFont="1" applyBorder="1" applyAlignment="1">
      <alignment horizontal="center" vertical="center"/>
    </xf>
    <xf numFmtId="0" fontId="28" fillId="0" borderId="6" xfId="0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3" fontId="28" fillId="0" borderId="2" xfId="104" applyNumberFormat="1" applyFont="1" applyBorder="1" applyAlignment="1">
      <alignment horizontal="center" vertical="center"/>
    </xf>
    <xf numFmtId="3" fontId="28" fillId="0" borderId="4" xfId="104" applyNumberFormat="1" applyFont="1" applyBorder="1" applyAlignment="1">
      <alignment horizontal="center" vertical="center"/>
    </xf>
    <xf numFmtId="4" fontId="28" fillId="0" borderId="5" xfId="104" applyNumberFormat="1" applyFont="1" applyBorder="1" applyAlignment="1">
      <alignment horizontal="center" vertical="center"/>
    </xf>
    <xf numFmtId="4" fontId="28" fillId="0" borderId="7" xfId="104" applyNumberFormat="1" applyFont="1" applyBorder="1" applyAlignment="1">
      <alignment horizontal="center" vertical="center"/>
    </xf>
    <xf numFmtId="4" fontId="28" fillId="0" borderId="10" xfId="104" applyNumberFormat="1" applyFont="1" applyBorder="1" applyAlignment="1">
      <alignment horizontal="center" vertical="center"/>
    </xf>
    <xf numFmtId="4" fontId="28" fillId="0" borderId="12" xfId="104" applyNumberFormat="1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0" fontId="28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43" fontId="7" fillId="6" borderId="8" xfId="1" applyFont="1" applyFill="1" applyBorder="1" applyAlignment="1">
      <alignment horizontal="center" vertical="center"/>
    </xf>
    <xf numFmtId="43" fontId="7" fillId="6" borderId="9" xfId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4" fontId="7" fillId="6" borderId="19" xfId="90" applyNumberFormat="1" applyFont="1" applyFill="1" applyBorder="1" applyAlignment="1">
      <alignment horizontal="center"/>
    </xf>
    <xf numFmtId="4" fontId="7" fillId="0" borderId="21" xfId="90" applyNumberFormat="1" applyFont="1" applyFill="1" applyBorder="1" applyAlignment="1">
      <alignment horizontal="center"/>
    </xf>
    <xf numFmtId="43" fontId="7" fillId="0" borderId="0" xfId="1" applyNumberFormat="1" applyFont="1" applyFill="1" applyBorder="1" applyAlignment="1">
      <alignment horizontal="right"/>
    </xf>
    <xf numFmtId="0" fontId="2" fillId="8" borderId="0" xfId="0" applyFont="1" applyFill="1" applyAlignment="1">
      <alignment horizontal="center"/>
    </xf>
    <xf numFmtId="4" fontId="7" fillId="0" borderId="19" xfId="90" applyNumberFormat="1" applyFont="1" applyFill="1" applyBorder="1" applyAlignment="1">
      <alignment horizontal="center"/>
    </xf>
    <xf numFmtId="2" fontId="7" fillId="0" borderId="19" xfId="90" applyNumberFormat="1" applyFont="1" applyFill="1" applyBorder="1" applyAlignment="1">
      <alignment horizontal="center"/>
    </xf>
    <xf numFmtId="0" fontId="7" fillId="0" borderId="0" xfId="90" applyFont="1" applyAlignment="1">
      <alignment horizontal="center"/>
    </xf>
    <xf numFmtId="43" fontId="7" fillId="0" borderId="21" xfId="1" applyFont="1" applyFill="1" applyBorder="1" applyAlignment="1">
      <alignment horizontal="center"/>
    </xf>
    <xf numFmtId="43" fontId="7" fillId="6" borderId="19" xfId="1" applyFont="1" applyFill="1" applyBorder="1" applyAlignment="1">
      <alignment horizontal="center"/>
    </xf>
    <xf numFmtId="43" fontId="7" fillId="6" borderId="19" xfId="1" applyFont="1" applyFill="1" applyBorder="1" applyAlignment="1" applyProtection="1">
      <alignment horizontal="center"/>
      <protection hidden="1"/>
    </xf>
    <xf numFmtId="2" fontId="7" fillId="6" borderId="19" xfId="90" applyNumberFormat="1" applyFont="1" applyFill="1" applyBorder="1" applyAlignment="1">
      <alignment horizontal="center"/>
    </xf>
    <xf numFmtId="43" fontId="7" fillId="0" borderId="0" xfId="1" applyFont="1" applyBorder="1" applyAlignment="1">
      <alignment horizontal="center" vertical="center"/>
    </xf>
    <xf numFmtId="43" fontId="7" fillId="6" borderId="0" xfId="1" applyNumberFormat="1" applyFont="1" applyFill="1" applyBorder="1" applyAlignment="1">
      <alignment horizontal="right"/>
    </xf>
    <xf numFmtId="43" fontId="7" fillId="0" borderId="0" xfId="0" applyNumberFormat="1" applyFont="1" applyAlignment="1">
      <alignment horizontal="center"/>
    </xf>
    <xf numFmtId="43" fontId="7" fillId="6" borderId="19" xfId="1" applyNumberFormat="1" applyFont="1" applyFill="1" applyBorder="1" applyAlignment="1">
      <alignment horizontal="right"/>
    </xf>
    <xf numFmtId="0" fontId="7" fillId="0" borderId="2" xfId="90" applyFont="1" applyBorder="1" applyAlignment="1">
      <alignment horizontal="center" vertical="center"/>
    </xf>
    <xf numFmtId="0" fontId="7" fillId="0" borderId="4" xfId="90" applyFont="1" applyBorder="1" applyAlignment="1">
      <alignment horizontal="center" vertical="center"/>
    </xf>
    <xf numFmtId="0" fontId="7" fillId="0" borderId="13" xfId="90" applyFont="1" applyBorder="1" applyAlignment="1">
      <alignment horizontal="center"/>
    </xf>
    <xf numFmtId="0" fontId="7" fillId="0" borderId="15" xfId="90" applyFont="1" applyBorder="1" applyAlignment="1">
      <alignment horizontal="center"/>
    </xf>
    <xf numFmtId="0" fontId="7" fillId="0" borderId="5" xfId="90" applyFont="1" applyBorder="1" applyAlignment="1">
      <alignment horizontal="center" vertical="center"/>
    </xf>
    <xf numFmtId="0" fontId="7" fillId="0" borderId="6" xfId="90" applyFont="1" applyBorder="1" applyAlignment="1">
      <alignment horizontal="center" vertical="center"/>
    </xf>
    <xf numFmtId="0" fontId="7" fillId="0" borderId="10" xfId="90" applyFont="1" applyBorder="1" applyAlignment="1">
      <alignment horizontal="center" vertical="center"/>
    </xf>
    <xf numFmtId="0" fontId="7" fillId="0" borderId="11" xfId="9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/>
    </xf>
    <xf numFmtId="0" fontId="2" fillId="0" borderId="3" xfId="1" applyNumberFormat="1" applyFont="1" applyBorder="1" applyAlignment="1">
      <alignment horizontal="center"/>
    </xf>
    <xf numFmtId="202" fontId="2" fillId="0" borderId="3" xfId="0" applyNumberFormat="1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2" fillId="0" borderId="4" xfId="1" applyNumberFormat="1" applyFont="1" applyBorder="1" applyAlignment="1">
      <alignment horizontal="center"/>
    </xf>
    <xf numFmtId="202" fontId="2" fillId="0" borderId="4" xfId="0" applyNumberFormat="1" applyFont="1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2" fontId="7" fillId="6" borderId="11" xfId="1" applyNumberFormat="1" applyFont="1" applyFill="1" applyBorder="1" applyAlignment="1">
      <alignment horizontal="center"/>
    </xf>
    <xf numFmtId="0" fontId="7" fillId="6" borderId="0" xfId="0" applyNumberFormat="1" applyFont="1" applyFill="1" applyBorder="1" applyAlignment="1">
      <alignment horizontal="center"/>
    </xf>
    <xf numFmtId="2" fontId="7" fillId="6" borderId="6" xfId="0" applyNumberFormat="1" applyFont="1" applyFill="1" applyBorder="1" applyAlignment="1">
      <alignment horizontal="center"/>
    </xf>
    <xf numFmtId="0" fontId="7" fillId="6" borderId="6" xfId="0" applyFont="1" applyFill="1" applyBorder="1" applyAlignment="1">
      <alignment horizontal="center"/>
    </xf>
    <xf numFmtId="2" fontId="7" fillId="0" borderId="0" xfId="0" applyNumberFormat="1" applyFont="1" applyAlignment="1">
      <alignment horizontal="center"/>
    </xf>
    <xf numFmtId="43" fontId="7" fillId="0" borderId="0" xfId="1" applyFont="1" applyBorder="1" applyAlignment="1">
      <alignment horizontal="center"/>
    </xf>
    <xf numFmtId="206" fontId="7" fillId="0" borderId="0" xfId="0" applyNumberFormat="1" applyFont="1" applyFill="1" applyBorder="1" applyAlignment="1">
      <alignment horizontal="center"/>
    </xf>
    <xf numFmtId="201" fontId="7" fillId="0" borderId="17" xfId="0" applyNumberFormat="1" applyFont="1" applyFill="1" applyBorder="1" applyAlignment="1">
      <alignment horizontal="center" vertical="center"/>
    </xf>
    <xf numFmtId="201" fontId="7" fillId="0" borderId="14" xfId="0" applyNumberFormat="1" applyFont="1" applyFill="1" applyBorder="1" applyAlignment="1">
      <alignment horizontal="center" vertical="center"/>
    </xf>
    <xf numFmtId="201" fontId="7" fillId="0" borderId="18" xfId="0" applyNumberFormat="1" applyFont="1" applyFill="1" applyBorder="1" applyAlignment="1">
      <alignment horizontal="center" vertical="center"/>
    </xf>
    <xf numFmtId="0" fontId="28" fillId="0" borderId="5" xfId="0" applyFont="1" applyBorder="1" applyAlignment="1">
      <alignment horizontal="center"/>
    </xf>
    <xf numFmtId="0" fontId="28" fillId="0" borderId="6" xfId="0" applyFont="1" applyBorder="1" applyAlignment="1">
      <alignment horizontal="center"/>
    </xf>
    <xf numFmtId="0" fontId="28" fillId="0" borderId="7" xfId="0" applyFont="1" applyBorder="1" applyAlignment="1">
      <alignment horizontal="center"/>
    </xf>
    <xf numFmtId="43" fontId="7" fillId="0" borderId="5" xfId="1" applyFont="1" applyBorder="1" applyAlignment="1">
      <alignment horizontal="center" vertical="center"/>
    </xf>
    <xf numFmtId="43" fontId="7" fillId="0" borderId="7" xfId="1" applyFont="1" applyBorder="1" applyAlignment="1">
      <alignment horizontal="center" vertical="center"/>
    </xf>
  </cellXfs>
  <cellStyles count="106">
    <cellStyle name=",;F'KOIT[[WAAHK" xfId="2"/>
    <cellStyle name="?? [0.00]_????" xfId="3"/>
    <cellStyle name="?? [0]_PERSONAL" xfId="4"/>
    <cellStyle name="???? [0.00]_????" xfId="5"/>
    <cellStyle name="??????[0]_PERSONAL" xfId="6"/>
    <cellStyle name="??????PERSONAL" xfId="7"/>
    <cellStyle name="?????[0]_PERSONAL" xfId="8"/>
    <cellStyle name="?????PERSONAL" xfId="9"/>
    <cellStyle name="?????PERSONAL 2" xfId="68"/>
    <cellStyle name="????_????" xfId="10"/>
    <cellStyle name="???[0]_PERSONAL" xfId="11"/>
    <cellStyle name="???_PERSONAL" xfId="12"/>
    <cellStyle name="??_??" xfId="13"/>
    <cellStyle name="?@??laroux" xfId="14"/>
    <cellStyle name="=C:\WINDOWS\SYSTEM32\COMMAND.COM" xfId="15"/>
    <cellStyle name="abc" xfId="16"/>
    <cellStyle name="Calc Currency (0)" xfId="17"/>
    <cellStyle name="Calc Currency (2)" xfId="18"/>
    <cellStyle name="Calc Percent (0)" xfId="19"/>
    <cellStyle name="Calc Percent (1)" xfId="20"/>
    <cellStyle name="Calc Percent (2)" xfId="21"/>
    <cellStyle name="Calc Units (0)" xfId="22"/>
    <cellStyle name="Calc Units (0) 2" xfId="69"/>
    <cellStyle name="Calc Units (1)" xfId="23"/>
    <cellStyle name="Calc Units (1) 2" xfId="70"/>
    <cellStyle name="Calc Units (2)" xfId="24"/>
    <cellStyle name="Comma" xfId="1" builtinId="3"/>
    <cellStyle name="Comma [00]" xfId="25"/>
    <cellStyle name="Comma [00] 2" xfId="71"/>
    <cellStyle name="Comma 6" xfId="26"/>
    <cellStyle name="company_title" xfId="27"/>
    <cellStyle name="Currency [00]" xfId="28"/>
    <cellStyle name="Date Short" xfId="29"/>
    <cellStyle name="date_format" xfId="30"/>
    <cellStyle name="Enter Currency (0)" xfId="31"/>
    <cellStyle name="Enter Currency (0) 2" xfId="72"/>
    <cellStyle name="Enter Currency (2)" xfId="32"/>
    <cellStyle name="Enter Units (0)" xfId="33"/>
    <cellStyle name="Enter Units (0) 2" xfId="73"/>
    <cellStyle name="Enter Units (1)" xfId="34"/>
    <cellStyle name="Enter Units (1) 2" xfId="74"/>
    <cellStyle name="Enter Units (2)" xfId="35"/>
    <cellStyle name="Grey" xfId="36"/>
    <cellStyle name="Header1" xfId="37"/>
    <cellStyle name="Header2" xfId="38"/>
    <cellStyle name="Input [yellow]" xfId="39"/>
    <cellStyle name="Link Currency (0)" xfId="40"/>
    <cellStyle name="Link Currency (0) 2" xfId="75"/>
    <cellStyle name="Link Currency (2)" xfId="41"/>
    <cellStyle name="Link Units (0)" xfId="42"/>
    <cellStyle name="Link Units (0) 2" xfId="76"/>
    <cellStyle name="Link Units (1)" xfId="43"/>
    <cellStyle name="Link Units (1) 2" xfId="77"/>
    <cellStyle name="Link Units (2)" xfId="44"/>
    <cellStyle name="no dec" xfId="45"/>
    <cellStyle name="Normal" xfId="0" builtinId="0"/>
    <cellStyle name="Normal - Style1" xfId="46"/>
    <cellStyle name="Normal - Style1 2" xfId="79"/>
    <cellStyle name="Normal 4" xfId="47"/>
    <cellStyle name="Nor聭al_ภาคกลาง" xfId="48"/>
    <cellStyle name="ParaBirimi [0]_RESULTS" xfId="49"/>
    <cellStyle name="ParaBirimi_RESULTS" xfId="50"/>
    <cellStyle name="Percent [0]" xfId="51"/>
    <cellStyle name="Percent [00]" xfId="52"/>
    <cellStyle name="Percent [2]" xfId="53"/>
    <cellStyle name="PrePop Currency (0)" xfId="54"/>
    <cellStyle name="PrePop Currency (0) 2" xfId="82"/>
    <cellStyle name="PrePop Currency (2)" xfId="55"/>
    <cellStyle name="PrePop Units (0)" xfId="56"/>
    <cellStyle name="PrePop Units (0) 2" xfId="83"/>
    <cellStyle name="PrePop Units (1)" xfId="57"/>
    <cellStyle name="PrePop Units (1) 2" xfId="84"/>
    <cellStyle name="PrePop Units (2)" xfId="58"/>
    <cellStyle name="report_title" xfId="59"/>
    <cellStyle name="Text Indent A" xfId="60"/>
    <cellStyle name="Text Indent B" xfId="61"/>
    <cellStyle name="Text Indent C" xfId="62"/>
    <cellStyle name="Virg? [0]_RESULTS" xfId="63"/>
    <cellStyle name="Virg?_RESULTS" xfId="64"/>
    <cellStyle name="เครื่องหมายจุลภาค 2 2" xfId="85"/>
    <cellStyle name="เครื่องหมายจุลภาค 3 2" xfId="86"/>
    <cellStyle name="เครื่องหมายจุลภาค 4 2" xfId="87"/>
    <cellStyle name="เครื่องหมายจุลภาค 5 2" xfId="88"/>
    <cellStyle name="เครื่องหมายจุลภาค 6" xfId="65"/>
    <cellStyle name="เครื่องหมายจุลภาค 6 2" xfId="89"/>
    <cellStyle name="ปกติ 2 10" xfId="103"/>
    <cellStyle name="ปกติ 2 2" xfId="66"/>
    <cellStyle name="ปกติ 2 2 2" xfId="91"/>
    <cellStyle name="ปกติ 2 3" xfId="78"/>
    <cellStyle name="ปกติ 2 4" xfId="81"/>
    <cellStyle name="ปกติ 2 5" xfId="90"/>
    <cellStyle name="ปกติ 2 6" xfId="97"/>
    <cellStyle name="ปกติ 2 7" xfId="99"/>
    <cellStyle name="ปกติ 2 8" xfId="101"/>
    <cellStyle name="ปกติ 2 9" xfId="102"/>
    <cellStyle name="ปกติ 3 2" xfId="92"/>
    <cellStyle name="ปกติ 4" xfId="80"/>
    <cellStyle name="ปกติ 4 2" xfId="93"/>
    <cellStyle name="ปกติ 5 2" xfId="94"/>
    <cellStyle name="ปกติ 6" xfId="67"/>
    <cellStyle name="ปกติ 6 2" xfId="95"/>
    <cellStyle name="ปกติ 8" xfId="98"/>
    <cellStyle name="ปกติ 9" xfId="100"/>
    <cellStyle name="ปกติ_BOQ-BANG-NGA 2" xfId="104"/>
    <cellStyle name="ปกติ_ค่า Fบางนา" xfId="105"/>
    <cellStyle name="เปอร์เซ็นต์ 2" xfId="96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104775</xdr:colOff>
      <xdr:row>13</xdr:row>
      <xdr:rowOff>19050</xdr:rowOff>
    </xdr:from>
    <xdr:to>
      <xdr:col>8</xdr:col>
      <xdr:colOff>304800</xdr:colOff>
      <xdr:row>13</xdr:row>
      <xdr:rowOff>228600</xdr:rowOff>
    </xdr:to>
    <xdr:sp macro="" textlink="">
      <xdr:nvSpPr>
        <xdr:cNvPr id="2" name="Text Box 233"/>
        <xdr:cNvSpPr txBox="1">
          <a:spLocks noChangeArrowheads="1"/>
        </xdr:cNvSpPr>
      </xdr:nvSpPr>
      <xdr:spPr bwMode="auto">
        <a:xfrm>
          <a:off x="2143125" y="2971800"/>
          <a:ext cx="12668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th-TH" sz="800" b="0" i="0" strike="noStrike">
              <a:solidFill>
                <a:srgbClr val="000000"/>
              </a:solidFill>
              <a:latin typeface="Arial"/>
            </a:rPr>
            <a:t>(ค่าจากตาราง ;บาท/ตัน)</a:t>
          </a:r>
        </a:p>
      </xdr:txBody>
    </xdr:sp>
    <xdr:clientData/>
  </xdr:twoCellAnchor>
  <xdr:twoCellAnchor>
    <xdr:from>
      <xdr:col>7</xdr:col>
      <xdr:colOff>114300</xdr:colOff>
      <xdr:row>15</xdr:row>
      <xdr:rowOff>19050</xdr:rowOff>
    </xdr:from>
    <xdr:to>
      <xdr:col>10</xdr:col>
      <xdr:colOff>247650</xdr:colOff>
      <xdr:row>15</xdr:row>
      <xdr:rowOff>228600</xdr:rowOff>
    </xdr:to>
    <xdr:sp macro="" textlink="">
      <xdr:nvSpPr>
        <xdr:cNvPr id="3" name="Text Box 234"/>
        <xdr:cNvSpPr txBox="1">
          <a:spLocks noChangeArrowheads="1"/>
        </xdr:cNvSpPr>
      </xdr:nvSpPr>
      <xdr:spPr bwMode="auto">
        <a:xfrm>
          <a:off x="2905125" y="3505200"/>
          <a:ext cx="16668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th-TH" sz="800" b="0" i="0" strike="noStrike">
              <a:solidFill>
                <a:srgbClr val="000000"/>
              </a:solidFill>
              <a:latin typeface="Arial"/>
            </a:rPr>
            <a:t>(ค่าจากตาราง ;จำนวนท่อต่อเที่ยว)</a:t>
          </a:r>
        </a:p>
      </xdr:txBody>
    </xdr:sp>
    <xdr:clientData/>
  </xdr:twoCellAnchor>
  <xdr:twoCellAnchor>
    <xdr:from>
      <xdr:col>5</xdr:col>
      <xdr:colOff>104775</xdr:colOff>
      <xdr:row>13</xdr:row>
      <xdr:rowOff>19050</xdr:rowOff>
    </xdr:from>
    <xdr:to>
      <xdr:col>8</xdr:col>
      <xdr:colOff>304800</xdr:colOff>
      <xdr:row>13</xdr:row>
      <xdr:rowOff>228600</xdr:rowOff>
    </xdr:to>
    <xdr:sp macro="" textlink="">
      <xdr:nvSpPr>
        <xdr:cNvPr id="4" name="Text Box 233"/>
        <xdr:cNvSpPr txBox="1">
          <a:spLocks noChangeArrowheads="1"/>
        </xdr:cNvSpPr>
      </xdr:nvSpPr>
      <xdr:spPr bwMode="auto">
        <a:xfrm>
          <a:off x="2143125" y="2971800"/>
          <a:ext cx="12668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th-TH" sz="800" b="0" i="0" strike="noStrike">
              <a:solidFill>
                <a:srgbClr val="000000"/>
              </a:solidFill>
              <a:latin typeface="Arial"/>
            </a:rPr>
            <a:t>(ค่าจากตาราง ;บาท/ตัน)</a:t>
          </a:r>
        </a:p>
      </xdr:txBody>
    </xdr:sp>
    <xdr:clientData/>
  </xdr:twoCellAnchor>
  <xdr:twoCellAnchor>
    <xdr:from>
      <xdr:col>5</xdr:col>
      <xdr:colOff>104775</xdr:colOff>
      <xdr:row>13</xdr:row>
      <xdr:rowOff>19050</xdr:rowOff>
    </xdr:from>
    <xdr:to>
      <xdr:col>8</xdr:col>
      <xdr:colOff>304800</xdr:colOff>
      <xdr:row>13</xdr:row>
      <xdr:rowOff>228600</xdr:rowOff>
    </xdr:to>
    <xdr:sp macro="" textlink="">
      <xdr:nvSpPr>
        <xdr:cNvPr id="5" name="Text Box 233"/>
        <xdr:cNvSpPr txBox="1">
          <a:spLocks noChangeArrowheads="1"/>
        </xdr:cNvSpPr>
      </xdr:nvSpPr>
      <xdr:spPr bwMode="auto">
        <a:xfrm>
          <a:off x="2143125" y="2971800"/>
          <a:ext cx="12668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th-TH" sz="800" b="0" i="0" strike="noStrike">
              <a:solidFill>
                <a:srgbClr val="000000"/>
              </a:solidFill>
              <a:latin typeface="Arial"/>
            </a:rPr>
            <a:t>(ค่าจากตาราง ;บาท/ตัน)</a:t>
          </a:r>
        </a:p>
      </xdr:txBody>
    </xdr:sp>
    <xdr:clientData/>
  </xdr:twoCellAnchor>
  <xdr:twoCellAnchor>
    <xdr:from>
      <xdr:col>7</xdr:col>
      <xdr:colOff>114300</xdr:colOff>
      <xdr:row>15</xdr:row>
      <xdr:rowOff>19050</xdr:rowOff>
    </xdr:from>
    <xdr:to>
      <xdr:col>10</xdr:col>
      <xdr:colOff>247650</xdr:colOff>
      <xdr:row>15</xdr:row>
      <xdr:rowOff>228600</xdr:rowOff>
    </xdr:to>
    <xdr:sp macro="" textlink="">
      <xdr:nvSpPr>
        <xdr:cNvPr id="6" name="Text Box 234"/>
        <xdr:cNvSpPr txBox="1">
          <a:spLocks noChangeArrowheads="1"/>
        </xdr:cNvSpPr>
      </xdr:nvSpPr>
      <xdr:spPr bwMode="auto">
        <a:xfrm>
          <a:off x="2905125" y="3505200"/>
          <a:ext cx="16668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th-TH" sz="800" b="0" i="0" strike="noStrike">
              <a:solidFill>
                <a:srgbClr val="000000"/>
              </a:solidFill>
              <a:latin typeface="Arial"/>
            </a:rPr>
            <a:t>(ค่าจากตาราง ;จำนวนท่อต่อเที่ยว)</a:t>
          </a:r>
        </a:p>
      </xdr:txBody>
    </xdr:sp>
    <xdr:clientData/>
  </xdr:twoCellAnchor>
  <xdr:twoCellAnchor>
    <xdr:from>
      <xdr:col>5</xdr:col>
      <xdr:colOff>104775</xdr:colOff>
      <xdr:row>13</xdr:row>
      <xdr:rowOff>19050</xdr:rowOff>
    </xdr:from>
    <xdr:to>
      <xdr:col>8</xdr:col>
      <xdr:colOff>304800</xdr:colOff>
      <xdr:row>13</xdr:row>
      <xdr:rowOff>228600</xdr:rowOff>
    </xdr:to>
    <xdr:sp macro="" textlink="">
      <xdr:nvSpPr>
        <xdr:cNvPr id="7" name="Text Box 233"/>
        <xdr:cNvSpPr txBox="1">
          <a:spLocks noChangeArrowheads="1"/>
        </xdr:cNvSpPr>
      </xdr:nvSpPr>
      <xdr:spPr bwMode="auto">
        <a:xfrm>
          <a:off x="2143125" y="2971800"/>
          <a:ext cx="12668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th-TH" sz="800" b="0" i="0" strike="noStrike">
              <a:solidFill>
                <a:srgbClr val="000000"/>
              </a:solidFill>
              <a:latin typeface="Arial"/>
            </a:rPr>
            <a:t>(ค่าจากตาราง ;บาท/ตัน)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9"/>
  <sheetViews>
    <sheetView tabSelected="1" view="pageBreakPreview" topLeftCell="A19" zoomScale="90" zoomScaleNormal="100" zoomScaleSheetLayoutView="90" workbookViewId="0">
      <selection activeCell="H22" sqref="H22:I22"/>
    </sheetView>
  </sheetViews>
  <sheetFormatPr defaultRowHeight="21"/>
  <cols>
    <col min="1" max="1" width="5.375" style="1" customWidth="1"/>
    <col min="2" max="2" width="9" style="1"/>
    <col min="3" max="3" width="14.875" style="1" customWidth="1"/>
    <col min="4" max="4" width="8.5" style="1" customWidth="1"/>
    <col min="5" max="5" width="9.75" style="1" customWidth="1"/>
    <col min="6" max="6" width="8.375" style="1" customWidth="1"/>
    <col min="7" max="7" width="8.75" style="1" customWidth="1"/>
    <col min="8" max="8" width="4.75" style="1" customWidth="1"/>
    <col min="9" max="9" width="4.25" style="1" customWidth="1"/>
    <col min="10" max="10" width="5.625" style="1" customWidth="1"/>
    <col min="11" max="11" width="4.875" style="1" customWidth="1"/>
    <col min="12" max="12" width="7.125" style="1" customWidth="1"/>
    <col min="13" max="13" width="10.625" style="1" customWidth="1"/>
    <col min="14" max="14" width="11.625" style="1" customWidth="1"/>
    <col min="15" max="15" width="9" style="1"/>
    <col min="16" max="16" width="12.25" style="1" bestFit="1" customWidth="1"/>
    <col min="17" max="16384" width="9" style="1"/>
  </cols>
  <sheetData>
    <row r="1" spans="1:17">
      <c r="A1" s="278" t="s">
        <v>33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</row>
    <row r="2" spans="1:17">
      <c r="A2" s="46" t="str">
        <f>ค่าวัสดุและดำเนินการ!A2</f>
        <v>ส่วนราชการ  : กองช่าง  องค์การบริหารส่วนตำบลป่ากลาง  อำเภอปัว  จังหวัดน่าน</v>
      </c>
    </row>
    <row r="3" spans="1:17">
      <c r="A3" s="1" t="str">
        <f>ค่าวัสดุและดำเนินการ!A3</f>
        <v>โครงการ      : ก่อสร้างถนนคอนกรีตเสริมเหล็กเข้าสู่พื้นที่การเกษตรบ้านห้วยสะนาว  หมู่ที่ 2 (หมอน 4)</v>
      </c>
    </row>
    <row r="4" spans="1:17">
      <c r="A4" s="1" t="str">
        <f>ค่าวัสดุและดำเนินการ!A4</f>
        <v xml:space="preserve">แบบก่อสร้าง : แบบอบตป่ากลางเลขที่   17 /2563    จำนวน    3   แผ่น  </v>
      </c>
    </row>
    <row r="5" spans="1:17">
      <c r="A5" s="1" t="str">
        <f>ค่าวัสดุและดำเนินการ!A5</f>
        <v xml:space="preserve">ปริมาณงาน   : เท คสล. กว้าง 4.00 เมตร  ยาว 280 เมตร  หนา 0.15 เมตร </v>
      </c>
    </row>
    <row r="6" spans="1:17">
      <c r="A6" s="1" t="str">
        <f>ค่าวัสดุและดำเนินการ!A6</f>
        <v>ที่ตั้งโครงการ : บ้านห้วยสะนาว  หมู่ที่ 2  ตำบลป่ากลาง  อำเภอปัว  จังหวัดน่าน</v>
      </c>
      <c r="G6" s="1" t="str">
        <f>ค่าวัสดุและดำเนินการ!G6</f>
        <v>เขตฝนตกปกติ   ราคาน้ำมันโซล่าเฉลี่ยที่อำเภอเมือง  26.00 - 26.99  บาท/ลิตร</v>
      </c>
    </row>
    <row r="7" spans="1:17">
      <c r="A7" s="1" t="str">
        <f>ค่าวัสดุและดำเนินการ!A7</f>
        <v>อัตราดอกเบี้ยเงินกู้ (MLR)   6 %</v>
      </c>
      <c r="G7" s="1" t="str">
        <f>ค่าวัสดุและดำเนินการ!G7</f>
        <v>เงินล่วงหน้าจ่าย   15  %</v>
      </c>
    </row>
    <row r="8" spans="1:17">
      <c r="A8" s="1" t="str">
        <f>ค่าวัสดุและดำเนินการ!A8</f>
        <v>เงินประกันผลงานหัก        0 %</v>
      </c>
      <c r="G8" s="1" t="str">
        <f>ค่าวัสดุและดำเนินการ!G8</f>
        <v>ภาษีมูลค่าเพิ่ม     7  %</v>
      </c>
    </row>
    <row r="9" spans="1:17">
      <c r="A9" s="275" t="s">
        <v>350</v>
      </c>
      <c r="G9" s="1" t="s">
        <v>349</v>
      </c>
    </row>
    <row r="10" spans="1:17">
      <c r="A10" s="289" t="s">
        <v>23</v>
      </c>
      <c r="B10" s="291" t="s">
        <v>0</v>
      </c>
      <c r="C10" s="291"/>
      <c r="D10" s="291"/>
      <c r="E10" s="292"/>
      <c r="F10" s="289" t="s">
        <v>1</v>
      </c>
      <c r="G10" s="295" t="s">
        <v>24</v>
      </c>
      <c r="H10" s="297" t="s">
        <v>68</v>
      </c>
      <c r="I10" s="298"/>
      <c r="J10" s="297" t="s">
        <v>25</v>
      </c>
      <c r="K10" s="298"/>
      <c r="L10" s="301" t="s">
        <v>26</v>
      </c>
      <c r="M10" s="21" t="s">
        <v>27</v>
      </c>
      <c r="N10" s="301" t="s">
        <v>77</v>
      </c>
    </row>
    <row r="11" spans="1:17">
      <c r="A11" s="290"/>
      <c r="B11" s="293"/>
      <c r="C11" s="293"/>
      <c r="D11" s="293"/>
      <c r="E11" s="294"/>
      <c r="F11" s="290"/>
      <c r="G11" s="296"/>
      <c r="H11" s="299" t="s">
        <v>69</v>
      </c>
      <c r="I11" s="300"/>
      <c r="J11" s="299"/>
      <c r="K11" s="300"/>
      <c r="L11" s="302"/>
      <c r="M11" s="22" t="s">
        <v>28</v>
      </c>
      <c r="N11" s="302"/>
    </row>
    <row r="12" spans="1:17">
      <c r="A12" s="229">
        <v>1</v>
      </c>
      <c r="B12" s="122" t="s">
        <v>312</v>
      </c>
      <c r="C12" s="227"/>
      <c r="D12" s="227"/>
      <c r="E12" s="228"/>
      <c r="F12" s="23"/>
      <c r="G12" s="28"/>
      <c r="H12" s="279"/>
      <c r="I12" s="280"/>
      <c r="J12" s="281"/>
      <c r="K12" s="282"/>
      <c r="L12" s="34"/>
      <c r="M12" s="43"/>
      <c r="N12" s="29"/>
    </row>
    <row r="13" spans="1:17">
      <c r="A13" s="121"/>
      <c r="B13" s="32" t="s">
        <v>190</v>
      </c>
      <c r="C13" s="32"/>
      <c r="D13" s="31"/>
      <c r="E13" s="33"/>
      <c r="F13" s="23" t="s">
        <v>22</v>
      </c>
      <c r="G13" s="274">
        <v>0</v>
      </c>
      <c r="H13" s="279">
        <f>ราคาต่อหน่วย!P3</f>
        <v>0</v>
      </c>
      <c r="I13" s="280"/>
      <c r="J13" s="281">
        <f>ROUND(H13*G13,2)</f>
        <v>0</v>
      </c>
      <c r="K13" s="282"/>
      <c r="L13" s="34">
        <f>$J$35</f>
        <v>1.3592</v>
      </c>
      <c r="M13" s="43">
        <f>ROUNDDOWN(H13*L13,2)</f>
        <v>0</v>
      </c>
      <c r="N13" s="29">
        <f>ROUND(J13*L13,2)</f>
        <v>0</v>
      </c>
    </row>
    <row r="14" spans="1:17">
      <c r="A14" s="121">
        <v>2</v>
      </c>
      <c r="B14" s="123" t="s">
        <v>189</v>
      </c>
      <c r="C14" s="32"/>
      <c r="D14" s="35"/>
      <c r="E14" s="33"/>
      <c r="F14" s="27"/>
      <c r="G14" s="28"/>
      <c r="H14" s="43"/>
      <c r="I14" s="124"/>
      <c r="J14" s="281"/>
      <c r="K14" s="282"/>
      <c r="L14" s="29"/>
      <c r="M14" s="29"/>
      <c r="N14" s="29"/>
    </row>
    <row r="15" spans="1:17">
      <c r="A15" s="121"/>
      <c r="B15" s="32" t="s">
        <v>316</v>
      </c>
      <c r="C15" s="32"/>
      <c r="D15" s="31"/>
      <c r="E15" s="33"/>
      <c r="F15" s="23" t="s">
        <v>22</v>
      </c>
      <c r="G15" s="274">
        <v>1120</v>
      </c>
      <c r="H15" s="304">
        <v>10.53</v>
      </c>
      <c r="I15" s="305"/>
      <c r="J15" s="281">
        <f>ROUND(H15*G15,2)</f>
        <v>11793.6</v>
      </c>
      <c r="K15" s="282"/>
      <c r="L15" s="34">
        <f>$J$35</f>
        <v>1.3592</v>
      </c>
      <c r="M15" s="43">
        <f>ROUNDDOWN(H15*L15,2)</f>
        <v>14.31</v>
      </c>
      <c r="N15" s="29">
        <f>ROUND(J15*L15,2)</f>
        <v>16029.86</v>
      </c>
    </row>
    <row r="16" spans="1:17">
      <c r="A16" s="121"/>
      <c r="B16" s="32" t="s">
        <v>301</v>
      </c>
      <c r="C16" s="32"/>
      <c r="D16" s="31"/>
      <c r="E16" s="33"/>
      <c r="F16" s="23" t="s">
        <v>20</v>
      </c>
      <c r="G16" s="274">
        <v>0</v>
      </c>
      <c r="H16" s="279">
        <f>ราคาต่อหน่วย!P21</f>
        <v>0</v>
      </c>
      <c r="I16" s="280"/>
      <c r="J16" s="281">
        <f>ROUND(H16*G16,2)</f>
        <v>0</v>
      </c>
      <c r="K16" s="282"/>
      <c r="L16" s="34">
        <f>$J$35</f>
        <v>1.3592</v>
      </c>
      <c r="M16" s="43">
        <f>ROUND(H16*L16,2)</f>
        <v>0</v>
      </c>
      <c r="N16" s="29">
        <f>ROUND(J16*L16,2)</f>
        <v>0</v>
      </c>
      <c r="Q16" s="169"/>
    </row>
    <row r="17" spans="1:16">
      <c r="A17" s="121"/>
      <c r="B17" s="32" t="s">
        <v>302</v>
      </c>
      <c r="C17" s="32"/>
      <c r="D17" s="31"/>
      <c r="E17" s="33"/>
      <c r="F17" s="23" t="s">
        <v>20</v>
      </c>
      <c r="G17" s="274">
        <v>0</v>
      </c>
      <c r="H17" s="281">
        <v>0</v>
      </c>
      <c r="I17" s="282"/>
      <c r="J17" s="281">
        <f>ROUND(H17*G17,2)</f>
        <v>0</v>
      </c>
      <c r="K17" s="282"/>
      <c r="L17" s="34">
        <f>$J$35</f>
        <v>1.3592</v>
      </c>
      <c r="M17" s="43">
        <f>ROUND(H17*L17,2)</f>
        <v>0</v>
      </c>
      <c r="N17" s="29">
        <f>ROUND(J17*L17,2)</f>
        <v>0</v>
      </c>
    </row>
    <row r="18" spans="1:16">
      <c r="A18" s="121">
        <v>3</v>
      </c>
      <c r="B18" s="123" t="s">
        <v>194</v>
      </c>
      <c r="C18" s="32"/>
      <c r="D18" s="31"/>
      <c r="E18" s="33"/>
      <c r="F18" s="27"/>
      <c r="G18" s="36"/>
      <c r="H18" s="43"/>
      <c r="I18" s="124"/>
      <c r="J18" s="281"/>
      <c r="K18" s="282"/>
      <c r="L18" s="34"/>
      <c r="M18" s="43"/>
      <c r="N18" s="29"/>
    </row>
    <row r="19" spans="1:16">
      <c r="A19" s="121"/>
      <c r="B19" s="32" t="s">
        <v>303</v>
      </c>
      <c r="C19" s="32"/>
      <c r="D19" s="31"/>
      <c r="E19" s="33" t="s">
        <v>261</v>
      </c>
      <c r="F19" s="23" t="s">
        <v>20</v>
      </c>
      <c r="G19" s="274">
        <v>56</v>
      </c>
      <c r="H19" s="281">
        <f>ราคาต่อหน่วย!P12</f>
        <v>666</v>
      </c>
      <c r="I19" s="282"/>
      <c r="J19" s="281">
        <f>ROUND(H19*G19,2)</f>
        <v>37296</v>
      </c>
      <c r="K19" s="282"/>
      <c r="L19" s="34">
        <f>$J$35</f>
        <v>1.3592</v>
      </c>
      <c r="M19" s="43">
        <f>ROUND(H19*L19,2)</f>
        <v>905.23</v>
      </c>
      <c r="N19" s="29">
        <f>ROUND(J19*L19,2)</f>
        <v>50692.72</v>
      </c>
    </row>
    <row r="20" spans="1:16">
      <c r="A20" s="121">
        <v>4</v>
      </c>
      <c r="B20" s="123" t="s">
        <v>195</v>
      </c>
      <c r="C20" s="32"/>
      <c r="D20" s="31"/>
      <c r="E20" s="33"/>
      <c r="F20" s="27"/>
      <c r="G20" s="36"/>
      <c r="H20" s="180"/>
      <c r="I20" s="181"/>
      <c r="J20" s="180"/>
      <c r="K20" s="181"/>
      <c r="L20" s="34"/>
      <c r="M20" s="43"/>
      <c r="N20" s="29"/>
    </row>
    <row r="21" spans="1:16">
      <c r="A21" s="121"/>
      <c r="B21" s="32" t="s">
        <v>305</v>
      </c>
      <c r="C21" s="32"/>
      <c r="D21" s="31"/>
      <c r="E21" s="33"/>
      <c r="F21" s="23" t="s">
        <v>22</v>
      </c>
      <c r="G21" s="274">
        <v>1120</v>
      </c>
      <c r="H21" s="281">
        <f>ราคาต่อหน่วย!P69</f>
        <v>420</v>
      </c>
      <c r="I21" s="282"/>
      <c r="J21" s="281">
        <f>ROUND(H21*G21,2)</f>
        <v>470400</v>
      </c>
      <c r="K21" s="282"/>
      <c r="L21" s="34">
        <f>$J$35</f>
        <v>1.3592</v>
      </c>
      <c r="M21" s="43">
        <f>ROUND(H21*L21,2)</f>
        <v>570.86</v>
      </c>
      <c r="N21" s="29">
        <f>ROUND(J21*L21,2)</f>
        <v>639367.68000000005</v>
      </c>
    </row>
    <row r="22" spans="1:16">
      <c r="A22" s="121"/>
      <c r="B22" s="32" t="s">
        <v>304</v>
      </c>
      <c r="C22" s="32"/>
      <c r="D22" s="31"/>
      <c r="E22" s="33"/>
      <c r="F22" s="23" t="s">
        <v>34</v>
      </c>
      <c r="G22" s="274">
        <v>20</v>
      </c>
      <c r="H22" s="281">
        <f>ราคาต่อหน่วย!P81</f>
        <v>196</v>
      </c>
      <c r="I22" s="282"/>
      <c r="J22" s="281">
        <f>ROUND(H22*G22,2)</f>
        <v>3920</v>
      </c>
      <c r="K22" s="282"/>
      <c r="L22" s="34">
        <f>$J$35</f>
        <v>1.3592</v>
      </c>
      <c r="M22" s="43">
        <f>ROUND(H22*L22,2)</f>
        <v>266.39999999999998</v>
      </c>
      <c r="N22" s="29">
        <f>ROUND(J22*L22,2)</f>
        <v>5328.06</v>
      </c>
    </row>
    <row r="23" spans="1:16">
      <c r="A23" s="121"/>
      <c r="B23" s="32" t="s">
        <v>306</v>
      </c>
      <c r="C23" s="32"/>
      <c r="D23" s="31"/>
      <c r="E23" s="33"/>
      <c r="F23" s="23" t="s">
        <v>34</v>
      </c>
      <c r="G23" s="274">
        <v>88</v>
      </c>
      <c r="H23" s="281">
        <f>ราคาต่อหน่วย!P91</f>
        <v>127</v>
      </c>
      <c r="I23" s="282"/>
      <c r="J23" s="281">
        <f>ROUND(H23*G23,2)</f>
        <v>11176</v>
      </c>
      <c r="K23" s="282"/>
      <c r="L23" s="34">
        <f>$J$35</f>
        <v>1.3592</v>
      </c>
      <c r="M23" s="43">
        <f>ROUND(H23*L23,2)</f>
        <v>172.62</v>
      </c>
      <c r="N23" s="29">
        <f>ROUND(J23*L23,2)</f>
        <v>15190.42</v>
      </c>
    </row>
    <row r="24" spans="1:16">
      <c r="A24" s="121"/>
      <c r="B24" s="32" t="s">
        <v>307</v>
      </c>
      <c r="C24" s="32"/>
      <c r="D24" s="31"/>
      <c r="E24" s="33"/>
      <c r="F24" s="23" t="s">
        <v>34</v>
      </c>
      <c r="G24" s="274">
        <v>280</v>
      </c>
      <c r="H24" s="281">
        <f>ราคาต่อหน่วย!P100</f>
        <v>52</v>
      </c>
      <c r="I24" s="282"/>
      <c r="J24" s="281">
        <f>ROUND(H24*G24,2)</f>
        <v>14560</v>
      </c>
      <c r="K24" s="282"/>
      <c r="L24" s="34">
        <f>$J$35</f>
        <v>1.3592</v>
      </c>
      <c r="M24" s="43">
        <f>ROUND(H24*L24,2)</f>
        <v>70.680000000000007</v>
      </c>
      <c r="N24" s="29">
        <f>ROUND(J24*L24,2)</f>
        <v>19789.95</v>
      </c>
    </row>
    <row r="25" spans="1:16">
      <c r="A25" s="121">
        <v>5</v>
      </c>
      <c r="B25" s="123" t="s">
        <v>200</v>
      </c>
      <c r="C25" s="32"/>
      <c r="D25" s="31"/>
      <c r="E25" s="33"/>
      <c r="F25" s="27"/>
      <c r="G25" s="36"/>
      <c r="H25" s="219"/>
      <c r="I25" s="220"/>
      <c r="J25" s="219"/>
      <c r="K25" s="220"/>
      <c r="L25" s="34"/>
      <c r="M25" s="43"/>
      <c r="N25" s="29"/>
    </row>
    <row r="26" spans="1:16">
      <c r="A26" s="121"/>
      <c r="B26" s="32" t="s">
        <v>308</v>
      </c>
      <c r="C26" s="32"/>
      <c r="D26" s="31"/>
      <c r="E26" s="33"/>
      <c r="F26" s="23" t="s">
        <v>20</v>
      </c>
      <c r="G26" s="274">
        <v>0</v>
      </c>
      <c r="H26" s="281">
        <f>ค่าวัสดุและดำเนินการ!F23</f>
        <v>120</v>
      </c>
      <c r="I26" s="282"/>
      <c r="J26" s="281">
        <f>ROUND(H26*G26,2)</f>
        <v>0</v>
      </c>
      <c r="K26" s="282"/>
      <c r="L26" s="34">
        <f>$J$35</f>
        <v>1.3592</v>
      </c>
      <c r="M26" s="43">
        <f>ROUND(H26*L26,2)</f>
        <v>163.1</v>
      </c>
      <c r="N26" s="29">
        <f>ROUND(J26*L26,2)</f>
        <v>0</v>
      </c>
    </row>
    <row r="27" spans="1:16">
      <c r="A27" s="121">
        <v>6</v>
      </c>
      <c r="B27" s="123" t="s">
        <v>246</v>
      </c>
      <c r="C27" s="32"/>
      <c r="D27" s="31"/>
      <c r="E27" s="33"/>
      <c r="F27" s="27"/>
      <c r="G27" s="36"/>
      <c r="H27" s="225"/>
      <c r="I27" s="226"/>
      <c r="J27" s="225"/>
      <c r="K27" s="226"/>
      <c r="L27" s="34"/>
      <c r="M27" s="43"/>
      <c r="N27" s="29"/>
    </row>
    <row r="28" spans="1:16">
      <c r="A28" s="121"/>
      <c r="B28" s="32" t="s">
        <v>309</v>
      </c>
      <c r="C28" s="32"/>
      <c r="D28" s="31"/>
      <c r="E28" s="33"/>
      <c r="F28" s="23" t="s">
        <v>173</v>
      </c>
      <c r="G28" s="274">
        <v>0</v>
      </c>
      <c r="H28" s="281">
        <v>0</v>
      </c>
      <c r="I28" s="282"/>
      <c r="J28" s="281">
        <f>ROUND(H28*G28,2)</f>
        <v>0</v>
      </c>
      <c r="K28" s="282"/>
      <c r="L28" s="34">
        <f>$J$35</f>
        <v>1.3592</v>
      </c>
      <c r="M28" s="43">
        <f>ROUND(H28*L28,2)</f>
        <v>0</v>
      </c>
      <c r="N28" s="29">
        <f>ROUND(J28*L28,2)</f>
        <v>0</v>
      </c>
    </row>
    <row r="29" spans="1:16">
      <c r="A29" s="230">
        <v>7</v>
      </c>
      <c r="B29" s="128" t="s">
        <v>76</v>
      </c>
      <c r="C29" s="128"/>
      <c r="D29" s="129"/>
      <c r="E29" s="130"/>
      <c r="F29" s="131"/>
      <c r="G29" s="132"/>
      <c r="H29" s="133"/>
      <c r="I29" s="134"/>
      <c r="J29" s="133"/>
      <c r="K29" s="134"/>
      <c r="L29" s="42"/>
      <c r="M29" s="37"/>
      <c r="N29" s="29"/>
    </row>
    <row r="30" spans="1:16">
      <c r="A30" s="16"/>
      <c r="B30" s="16"/>
      <c r="C30" s="38"/>
      <c r="D30" s="39"/>
      <c r="E30" s="39"/>
      <c r="F30" s="16"/>
      <c r="G30" s="182"/>
      <c r="H30" s="182"/>
      <c r="I30" s="16"/>
      <c r="J30" s="16"/>
      <c r="K30" s="40"/>
      <c r="L30" s="15"/>
      <c r="M30" s="38" t="s">
        <v>202</v>
      </c>
      <c r="N30" s="136">
        <f>ROUND((SUM(N12:N29)),2)</f>
        <v>746398.69</v>
      </c>
      <c r="P30" s="168">
        <f>N30/G21</f>
        <v>666.42740178571421</v>
      </c>
    </row>
    <row r="31" spans="1:16" ht="21.75" thickBot="1">
      <c r="A31" s="16"/>
      <c r="B31" s="16"/>
      <c r="C31" s="38"/>
      <c r="D31" s="39"/>
      <c r="E31" s="39"/>
      <c r="F31" s="16"/>
      <c r="G31" s="182"/>
      <c r="H31" s="182"/>
      <c r="I31" s="16"/>
      <c r="J31" s="16"/>
      <c r="K31" s="40"/>
      <c r="L31" s="15"/>
      <c r="M31" s="38" t="s">
        <v>298</v>
      </c>
      <c r="N31" s="135">
        <f>ROUNDDOWN(N30,2)</f>
        <v>746398.69</v>
      </c>
    </row>
    <row r="32" spans="1:16" ht="22.5" thickTop="1" thickBot="1">
      <c r="A32" s="15"/>
      <c r="B32" s="18" t="s">
        <v>29</v>
      </c>
      <c r="C32" s="19"/>
      <c r="D32" s="18"/>
      <c r="E32" s="18"/>
      <c r="H32" s="177"/>
      <c r="I32" s="15"/>
      <c r="J32" s="286">
        <f>SUM(J12:K29)</f>
        <v>549145.59999999998</v>
      </c>
      <c r="K32" s="287"/>
      <c r="L32" s="288"/>
      <c r="M32" s="35"/>
      <c r="N32" s="41"/>
      <c r="P32" s="174">
        <f>J32*J35</f>
        <v>746398.69951999991</v>
      </c>
    </row>
    <row r="33" spans="1:14" ht="21.75" thickBot="1">
      <c r="A33" s="15"/>
      <c r="B33" s="18" t="s">
        <v>30</v>
      </c>
      <c r="C33" s="19"/>
      <c r="D33" s="18"/>
      <c r="E33" s="18"/>
      <c r="H33" s="177"/>
      <c r="I33" s="15"/>
      <c r="J33" s="286" t="s">
        <v>18</v>
      </c>
      <c r="K33" s="287"/>
      <c r="L33" s="288"/>
      <c r="M33" s="35"/>
      <c r="N33" s="41"/>
    </row>
    <row r="34" spans="1:14" ht="21.75" thickBot="1">
      <c r="A34" s="15"/>
      <c r="B34" s="18"/>
      <c r="C34" s="19"/>
      <c r="D34" s="18"/>
      <c r="E34" s="18"/>
      <c r="H34" s="177"/>
      <c r="I34" s="15"/>
      <c r="J34" s="179"/>
      <c r="K34" s="179"/>
      <c r="L34" s="179"/>
      <c r="M34" s="35"/>
      <c r="N34" s="41"/>
    </row>
    <row r="35" spans="1:14" ht="21.75" thickBot="1">
      <c r="A35" s="15"/>
      <c r="B35" s="18" t="s">
        <v>31</v>
      </c>
      <c r="C35" s="19"/>
      <c r="D35" s="18"/>
      <c r="E35" s="18"/>
      <c r="H35" s="177"/>
      <c r="I35" s="15"/>
      <c r="J35" s="283">
        <v>1.3592</v>
      </c>
      <c r="K35" s="284"/>
      <c r="L35" s="285"/>
      <c r="M35" s="35"/>
      <c r="N35" s="41"/>
    </row>
    <row r="36" spans="1:14" ht="21.75" thickBot="1">
      <c r="A36" s="15"/>
      <c r="B36" s="18" t="s">
        <v>32</v>
      </c>
      <c r="C36" s="19"/>
      <c r="D36" s="18"/>
      <c r="E36" s="18"/>
      <c r="H36" s="177"/>
      <c r="I36" s="15"/>
      <c r="J36" s="283" t="s">
        <v>18</v>
      </c>
      <c r="K36" s="284"/>
      <c r="L36" s="285"/>
      <c r="M36" s="35"/>
      <c r="N36" s="41"/>
    </row>
    <row r="37" spans="1:14">
      <c r="A37" s="15"/>
      <c r="B37" s="18"/>
      <c r="C37" s="19"/>
      <c r="D37" s="18"/>
      <c r="E37" s="18"/>
      <c r="H37" s="221"/>
      <c r="I37" s="15"/>
      <c r="J37" s="45"/>
      <c r="K37" s="45"/>
      <c r="L37" s="45"/>
      <c r="M37" s="35"/>
      <c r="N37" s="41"/>
    </row>
    <row r="38" spans="1:14">
      <c r="A38" s="15"/>
      <c r="B38" s="18"/>
      <c r="C38" s="19"/>
      <c r="D38" s="18"/>
      <c r="E38" s="18"/>
      <c r="H38" s="221"/>
      <c r="I38" s="15"/>
      <c r="J38" s="45"/>
      <c r="K38" s="45"/>
      <c r="L38" s="45"/>
      <c r="M38" s="35"/>
      <c r="N38" s="41"/>
    </row>
    <row r="39" spans="1:14" hidden="1">
      <c r="A39" s="15"/>
      <c r="B39" s="18"/>
      <c r="C39" s="19"/>
      <c r="D39" s="18"/>
      <c r="E39" s="18"/>
      <c r="H39" s="221"/>
      <c r="I39" s="15"/>
      <c r="J39" s="45"/>
      <c r="K39" s="45"/>
      <c r="L39" s="45"/>
      <c r="M39" s="35"/>
      <c r="N39" s="41"/>
    </row>
    <row r="40" spans="1:14" hidden="1">
      <c r="A40" s="15"/>
      <c r="B40" s="18"/>
      <c r="C40" s="19"/>
      <c r="D40" s="18"/>
      <c r="E40" s="18"/>
      <c r="H40" s="221"/>
      <c r="I40" s="15"/>
      <c r="J40" s="45"/>
      <c r="K40" s="45"/>
      <c r="L40" s="45"/>
      <c r="M40" s="35"/>
      <c r="N40" s="41"/>
    </row>
    <row r="41" spans="1:14" hidden="1">
      <c r="A41" s="20"/>
      <c r="B41" s="278" t="s">
        <v>286</v>
      </c>
      <c r="C41" s="278"/>
      <c r="D41" s="278"/>
      <c r="E41" s="278"/>
      <c r="F41" s="278"/>
      <c r="G41" s="3"/>
      <c r="H41" s="221"/>
      <c r="I41" s="221"/>
      <c r="J41" s="303" t="s">
        <v>287</v>
      </c>
      <c r="K41" s="303"/>
      <c r="L41" s="303"/>
      <c r="M41" s="303"/>
      <c r="N41" s="303"/>
    </row>
    <row r="42" spans="1:14" hidden="1">
      <c r="B42" s="276" t="s">
        <v>288</v>
      </c>
      <c r="C42" s="276"/>
      <c r="D42" s="276"/>
      <c r="E42" s="276"/>
      <c r="J42" s="276" t="s">
        <v>289</v>
      </c>
      <c r="K42" s="276"/>
      <c r="L42" s="276"/>
      <c r="M42" s="276"/>
    </row>
    <row r="43" spans="1:14" hidden="1">
      <c r="B43" s="276" t="s">
        <v>290</v>
      </c>
      <c r="C43" s="276"/>
      <c r="D43" s="276"/>
      <c r="E43" s="276"/>
      <c r="J43" s="276" t="s">
        <v>291</v>
      </c>
      <c r="K43" s="276"/>
      <c r="L43" s="276"/>
      <c r="M43" s="276"/>
    </row>
    <row r="44" spans="1:14" hidden="1"/>
    <row r="45" spans="1:14" hidden="1">
      <c r="B45" s="278" t="s">
        <v>292</v>
      </c>
      <c r="C45" s="278"/>
      <c r="D45" s="278"/>
      <c r="E45" s="278"/>
      <c r="J45" s="303" t="s">
        <v>293</v>
      </c>
      <c r="K45" s="303"/>
      <c r="L45" s="303"/>
      <c r="M45" s="303"/>
      <c r="N45" s="303"/>
    </row>
    <row r="46" spans="1:14" hidden="1">
      <c r="B46" s="276" t="s">
        <v>296</v>
      </c>
      <c r="C46" s="276"/>
      <c r="D46" s="276"/>
      <c r="E46" s="276"/>
      <c r="J46" s="276" t="s">
        <v>294</v>
      </c>
      <c r="K46" s="276"/>
      <c r="L46" s="276"/>
      <c r="M46" s="276"/>
    </row>
    <row r="47" spans="1:14" hidden="1">
      <c r="A47" s="20"/>
      <c r="B47" s="276" t="s">
        <v>61</v>
      </c>
      <c r="C47" s="276"/>
      <c r="D47" s="276"/>
      <c r="E47" s="276"/>
      <c r="F47" s="20"/>
      <c r="J47" s="276" t="s">
        <v>295</v>
      </c>
      <c r="K47" s="276"/>
      <c r="L47" s="276"/>
      <c r="M47" s="276"/>
    </row>
    <row r="48" spans="1:14" hidden="1">
      <c r="A48" s="15"/>
      <c r="B48" s="18"/>
      <c r="C48" s="19"/>
      <c r="D48" s="18"/>
      <c r="E48" s="18"/>
      <c r="H48" s="221"/>
      <c r="I48" s="15"/>
      <c r="J48" s="45"/>
      <c r="K48" s="45"/>
      <c r="L48" s="45"/>
      <c r="M48" s="35"/>
      <c r="N48" s="41"/>
    </row>
    <row r="49" spans="1:14" hidden="1">
      <c r="A49" s="15"/>
      <c r="B49" s="18"/>
      <c r="C49" s="19"/>
      <c r="D49" s="18"/>
      <c r="E49" s="18"/>
      <c r="H49" s="221"/>
      <c r="I49" s="15"/>
      <c r="J49" s="45"/>
      <c r="K49" s="45"/>
      <c r="L49" s="45"/>
      <c r="M49" s="35"/>
      <c r="N49" s="41"/>
    </row>
    <row r="50" spans="1:14" hidden="1">
      <c r="A50" s="15"/>
      <c r="B50" s="18"/>
      <c r="C50" s="19"/>
      <c r="D50" s="18"/>
      <c r="E50" s="18"/>
      <c r="H50" s="221"/>
      <c r="I50" s="15"/>
      <c r="J50" s="45"/>
      <c r="K50" s="45"/>
      <c r="L50" s="45"/>
      <c r="M50" s="35"/>
      <c r="N50" s="41"/>
    </row>
    <row r="51" spans="1:14" hidden="1">
      <c r="A51" s="15"/>
      <c r="B51" s="18"/>
      <c r="C51" s="19"/>
      <c r="D51" s="18"/>
      <c r="E51" s="18"/>
      <c r="H51" s="221"/>
      <c r="I51" s="15"/>
      <c r="J51" s="45"/>
      <c r="K51" s="45"/>
      <c r="L51" s="45"/>
      <c r="M51" s="35"/>
      <c r="N51" s="41"/>
    </row>
    <row r="52" spans="1:14" hidden="1">
      <c r="A52" s="15"/>
      <c r="B52" s="18"/>
      <c r="C52" s="19"/>
      <c r="D52" s="18"/>
      <c r="E52" s="18"/>
      <c r="H52" s="221"/>
      <c r="I52" s="15"/>
      <c r="J52" s="45"/>
      <c r="K52" s="45"/>
      <c r="L52" s="45"/>
      <c r="M52" s="35"/>
      <c r="N52" s="41"/>
    </row>
    <row r="53" spans="1:14" hidden="1">
      <c r="A53" s="15"/>
      <c r="B53" s="18"/>
      <c r="C53" s="19"/>
      <c r="D53" s="18"/>
      <c r="E53" s="18"/>
      <c r="H53" s="221"/>
      <c r="I53" s="15"/>
      <c r="J53" s="45"/>
      <c r="K53" s="45"/>
      <c r="L53" s="45"/>
      <c r="M53" s="35"/>
      <c r="N53" s="41"/>
    </row>
    <row r="54" spans="1:14" hidden="1">
      <c r="A54" s="15"/>
      <c r="B54" s="18"/>
      <c r="C54" s="19"/>
      <c r="D54" s="18"/>
      <c r="E54" s="18"/>
      <c r="H54" s="221"/>
      <c r="I54" s="15"/>
      <c r="J54" s="45"/>
      <c r="K54" s="45"/>
      <c r="L54" s="45"/>
      <c r="M54" s="35"/>
      <c r="N54" s="41"/>
    </row>
    <row r="55" spans="1:14" hidden="1">
      <c r="A55" s="15"/>
      <c r="B55" s="18"/>
      <c r="C55" s="19"/>
      <c r="D55" s="18"/>
      <c r="E55" s="18"/>
      <c r="H55" s="221"/>
      <c r="I55" s="15"/>
      <c r="J55" s="45"/>
      <c r="K55" s="45"/>
      <c r="L55" s="45"/>
      <c r="M55" s="35"/>
      <c r="N55" s="41"/>
    </row>
    <row r="56" spans="1:14" hidden="1">
      <c r="A56" s="15"/>
      <c r="B56" s="18"/>
      <c r="C56" s="19"/>
      <c r="D56" s="18"/>
      <c r="E56" s="18"/>
      <c r="H56" s="221"/>
      <c r="I56" s="15"/>
      <c r="J56" s="45"/>
      <c r="K56" s="45"/>
      <c r="L56" s="45"/>
      <c r="M56" s="35"/>
      <c r="N56" s="41"/>
    </row>
    <row r="57" spans="1:14" hidden="1">
      <c r="A57" s="15"/>
      <c r="B57" s="18"/>
      <c r="C57" s="19"/>
      <c r="D57" s="18"/>
      <c r="E57" s="18"/>
      <c r="H57" s="177"/>
      <c r="I57" s="15"/>
      <c r="J57" s="45"/>
      <c r="K57" s="45"/>
      <c r="L57" s="45"/>
      <c r="M57" s="35"/>
      <c r="N57" s="41"/>
    </row>
    <row r="58" spans="1:14">
      <c r="E58" s="3" t="s">
        <v>70</v>
      </c>
      <c r="F58" s="3"/>
      <c r="G58" s="3"/>
      <c r="H58" s="3"/>
      <c r="I58" s="3"/>
      <c r="J58" s="3"/>
      <c r="K58" s="3"/>
    </row>
    <row r="59" spans="1:14">
      <c r="E59" s="277" t="str">
        <f>B85</f>
        <v>( นายนัฏฐิชัย  ใจมั่น )</v>
      </c>
      <c r="F59" s="277"/>
      <c r="G59" s="277"/>
      <c r="H59" s="277"/>
      <c r="I59" s="277"/>
    </row>
    <row r="60" spans="1:14">
      <c r="E60" s="277" t="str">
        <f>D85</f>
        <v>ผู้อำนวยการกองช่าง</v>
      </c>
      <c r="F60" s="277"/>
      <c r="G60" s="277"/>
      <c r="H60" s="277"/>
      <c r="I60" s="277"/>
    </row>
    <row r="62" spans="1:14">
      <c r="B62" s="3" t="s">
        <v>258</v>
      </c>
      <c r="C62" s="3"/>
      <c r="D62" s="3"/>
      <c r="E62" s="3"/>
      <c r="F62" s="3"/>
      <c r="G62" s="3"/>
      <c r="H62" s="3" t="s">
        <v>260</v>
      </c>
      <c r="J62" s="3"/>
      <c r="K62" s="3"/>
      <c r="L62" s="3"/>
      <c r="M62" s="3"/>
    </row>
    <row r="63" spans="1:14">
      <c r="B63" s="277" t="str">
        <f>B89</f>
        <v>( นายยอดยิ่ง  พิชยวาณิชย์ )</v>
      </c>
      <c r="C63" s="278"/>
      <c r="D63" s="278"/>
      <c r="I63" s="277" t="str">
        <f>B88</f>
        <v>( นายสุรเดช   พรมมีเดช )</v>
      </c>
      <c r="J63" s="277"/>
      <c r="K63" s="277"/>
      <c r="L63" s="277"/>
    </row>
    <row r="64" spans="1:14">
      <c r="B64" s="277" t="str">
        <f>D89</f>
        <v>วิศวกรโยธา</v>
      </c>
      <c r="C64" s="278"/>
      <c r="D64" s="278"/>
      <c r="I64" s="277" t="str">
        <f>D88</f>
        <v>นายช่างโยธา</v>
      </c>
      <c r="J64" s="277"/>
      <c r="K64" s="277"/>
      <c r="L64" s="277"/>
    </row>
    <row r="65" spans="2:13">
      <c r="B65" s="175"/>
      <c r="C65" s="176"/>
      <c r="D65" s="176"/>
      <c r="I65" s="175"/>
      <c r="J65" s="175"/>
      <c r="K65" s="175"/>
      <c r="L65" s="175"/>
    </row>
    <row r="66" spans="2:13">
      <c r="B66" s="3" t="s">
        <v>258</v>
      </c>
      <c r="C66" s="3"/>
      <c r="D66" s="3"/>
      <c r="E66" s="3"/>
      <c r="F66" s="3"/>
      <c r="G66" s="3"/>
      <c r="H66" s="3" t="s">
        <v>260</v>
      </c>
      <c r="J66" s="3"/>
      <c r="K66" s="3"/>
      <c r="L66" s="3"/>
      <c r="M66" s="3"/>
    </row>
    <row r="67" spans="2:13">
      <c r="B67" s="277" t="str">
        <f>B71</f>
        <v>( นายชัยเดช  อภิวัฒน์สกุล )</v>
      </c>
      <c r="C67" s="278"/>
      <c r="D67" s="278"/>
      <c r="I67" s="277" t="str">
        <f>B72</f>
        <v>( นายสุรพงษ์   ศิลป์ท้าว)</v>
      </c>
      <c r="J67" s="277"/>
      <c r="K67" s="277"/>
      <c r="L67" s="277"/>
    </row>
    <row r="68" spans="2:13">
      <c r="B68" s="277" t="str">
        <f>D71</f>
        <v>รองนายก อบต.ป่ากลาง</v>
      </c>
      <c r="C68" s="278"/>
      <c r="D68" s="278"/>
      <c r="I68" s="277" t="str">
        <f>D72</f>
        <v>รองนายก อบต.ป่ากลาง</v>
      </c>
      <c r="J68" s="277"/>
      <c r="K68" s="277"/>
      <c r="L68" s="277"/>
    </row>
    <row r="69" spans="2:13">
      <c r="B69" s="175"/>
      <c r="C69" s="176"/>
      <c r="D69" s="176"/>
      <c r="I69" s="175"/>
      <c r="J69" s="175"/>
      <c r="K69" s="175"/>
      <c r="L69" s="175"/>
    </row>
    <row r="70" spans="2:13">
      <c r="B70" s="175"/>
      <c r="C70" s="176"/>
      <c r="D70" s="176"/>
      <c r="I70" s="175"/>
      <c r="J70" s="175"/>
      <c r="K70" s="175"/>
      <c r="L70" s="175"/>
    </row>
    <row r="71" spans="2:13">
      <c r="B71" s="44" t="s">
        <v>35</v>
      </c>
      <c r="D71" s="44" t="s">
        <v>36</v>
      </c>
    </row>
    <row r="72" spans="2:13">
      <c r="B72" s="44" t="s">
        <v>259</v>
      </c>
      <c r="D72" s="44" t="s">
        <v>36</v>
      </c>
    </row>
    <row r="73" spans="2:13">
      <c r="B73" s="44" t="s">
        <v>37</v>
      </c>
      <c r="D73" s="44" t="s">
        <v>38</v>
      </c>
    </row>
    <row r="74" spans="2:13">
      <c r="B74" s="178" t="s">
        <v>39</v>
      </c>
      <c r="D74" s="1" t="s">
        <v>40</v>
      </c>
    </row>
    <row r="75" spans="2:13">
      <c r="B75" s="1" t="s">
        <v>41</v>
      </c>
      <c r="D75" s="1" t="s">
        <v>42</v>
      </c>
    </row>
    <row r="76" spans="2:13">
      <c r="B76" s="1" t="s">
        <v>43</v>
      </c>
      <c r="D76" s="1" t="s">
        <v>44</v>
      </c>
    </row>
    <row r="77" spans="2:13">
      <c r="B77" s="1" t="s">
        <v>45</v>
      </c>
      <c r="D77" s="1" t="s">
        <v>46</v>
      </c>
    </row>
    <row r="78" spans="2:13">
      <c r="B78" s="1" t="s">
        <v>47</v>
      </c>
      <c r="D78" s="1" t="s">
        <v>48</v>
      </c>
    </row>
    <row r="79" spans="2:13">
      <c r="B79" s="1" t="s">
        <v>49</v>
      </c>
      <c r="D79" s="1" t="s">
        <v>50</v>
      </c>
    </row>
    <row r="80" spans="2:13">
      <c r="B80" s="1" t="s">
        <v>51</v>
      </c>
      <c r="D80" s="1" t="s">
        <v>52</v>
      </c>
    </row>
    <row r="81" spans="2:4">
      <c r="B81" s="1" t="s">
        <v>53</v>
      </c>
      <c r="D81" s="1" t="s">
        <v>54</v>
      </c>
    </row>
    <row r="82" spans="2:4">
      <c r="B82" s="1" t="s">
        <v>55</v>
      </c>
      <c r="D82" s="1" t="s">
        <v>56</v>
      </c>
    </row>
    <row r="83" spans="2:4">
      <c r="B83" s="1" t="s">
        <v>57</v>
      </c>
      <c r="D83" s="1" t="s">
        <v>58</v>
      </c>
    </row>
    <row r="84" spans="2:4">
      <c r="B84" s="1" t="s">
        <v>59</v>
      </c>
      <c r="D84" s="1" t="s">
        <v>60</v>
      </c>
    </row>
    <row r="85" spans="2:4">
      <c r="B85" s="1" t="s">
        <v>351</v>
      </c>
      <c r="D85" s="1" t="s">
        <v>61</v>
      </c>
    </row>
    <row r="86" spans="2:4">
      <c r="B86" s="1" t="s">
        <v>62</v>
      </c>
      <c r="D86" s="1" t="s">
        <v>63</v>
      </c>
    </row>
    <row r="87" spans="2:4">
      <c r="B87" s="1" t="s">
        <v>64</v>
      </c>
      <c r="D87" s="1" t="s">
        <v>65</v>
      </c>
    </row>
    <row r="88" spans="2:4">
      <c r="B88" s="1" t="s">
        <v>66</v>
      </c>
      <c r="D88" s="44" t="s">
        <v>67</v>
      </c>
    </row>
    <row r="89" spans="2:4">
      <c r="B89" s="1" t="s">
        <v>352</v>
      </c>
      <c r="D89" s="44" t="s">
        <v>353</v>
      </c>
    </row>
  </sheetData>
  <mergeCells count="62">
    <mergeCell ref="J13:K13"/>
    <mergeCell ref="J14:K14"/>
    <mergeCell ref="H15:I15"/>
    <mergeCell ref="J15:K15"/>
    <mergeCell ref="H16:I16"/>
    <mergeCell ref="J16:K16"/>
    <mergeCell ref="B43:E43"/>
    <mergeCell ref="J43:M43"/>
    <mergeCell ref="B45:E45"/>
    <mergeCell ref="J22:K22"/>
    <mergeCell ref="B41:F41"/>
    <mergeCell ref="J41:N41"/>
    <mergeCell ref="B42:E42"/>
    <mergeCell ref="J45:N45"/>
    <mergeCell ref="J17:K17"/>
    <mergeCell ref="J32:L32"/>
    <mergeCell ref="H19:I19"/>
    <mergeCell ref="J19:K19"/>
    <mergeCell ref="H28:I28"/>
    <mergeCell ref="J28:K28"/>
    <mergeCell ref="H22:I22"/>
    <mergeCell ref="J18:K18"/>
    <mergeCell ref="A1:N1"/>
    <mergeCell ref="A10:A11"/>
    <mergeCell ref="B10:E11"/>
    <mergeCell ref="F10:F11"/>
    <mergeCell ref="G10:G11"/>
    <mergeCell ref="H10:I10"/>
    <mergeCell ref="J10:K11"/>
    <mergeCell ref="L10:L11"/>
    <mergeCell ref="N10:N11"/>
    <mergeCell ref="H11:I11"/>
    <mergeCell ref="H12:I12"/>
    <mergeCell ref="J12:K12"/>
    <mergeCell ref="H13:I13"/>
    <mergeCell ref="J42:M42"/>
    <mergeCell ref="H23:I23"/>
    <mergeCell ref="J23:K23"/>
    <mergeCell ref="H24:I24"/>
    <mergeCell ref="J24:K24"/>
    <mergeCell ref="H26:I26"/>
    <mergeCell ref="J26:K26"/>
    <mergeCell ref="J35:L35"/>
    <mergeCell ref="J36:L36"/>
    <mergeCell ref="J33:L33"/>
    <mergeCell ref="H21:I21"/>
    <mergeCell ref="J21:K21"/>
    <mergeCell ref="H17:I17"/>
    <mergeCell ref="B46:E46"/>
    <mergeCell ref="J46:M46"/>
    <mergeCell ref="B47:E47"/>
    <mergeCell ref="J47:M47"/>
    <mergeCell ref="B68:D68"/>
    <mergeCell ref="I68:L68"/>
    <mergeCell ref="E59:I59"/>
    <mergeCell ref="E60:I60"/>
    <mergeCell ref="B63:D63"/>
    <mergeCell ref="I63:L63"/>
    <mergeCell ref="B64:D64"/>
    <mergeCell ref="I64:L64"/>
    <mergeCell ref="B67:D67"/>
    <mergeCell ref="I67:L67"/>
  </mergeCells>
  <printOptions horizontalCentered="1"/>
  <pageMargins left="0.59055118110236227" right="0" top="0.39370078740157483" bottom="0" header="0.31496062992125984" footer="0.31496062992125984"/>
  <pageSetup paperSize="9" scale="75" orientation="portrait" r:id="rId1"/>
  <rowBreaks count="1" manualBreakCount="1">
    <brk id="68" max="13" man="1"/>
  </rowBreaks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view="pageBreakPreview" zoomScale="130" zoomScaleSheetLayoutView="130" workbookViewId="0">
      <selection activeCell="H22" sqref="H22"/>
    </sheetView>
  </sheetViews>
  <sheetFormatPr defaultRowHeight="21"/>
  <cols>
    <col min="1" max="1" width="5.125" style="1" customWidth="1"/>
    <col min="2" max="3" width="10.625" style="1" customWidth="1"/>
    <col min="4" max="4" width="13" style="1" customWidth="1"/>
    <col min="5" max="5" width="7.25" style="1" customWidth="1"/>
    <col min="6" max="6" width="10.625" style="1" customWidth="1"/>
    <col min="7" max="7" width="7.25" style="1" customWidth="1"/>
    <col min="8" max="8" width="9.25" style="1" customWidth="1"/>
    <col min="9" max="9" width="8.5" style="1" customWidth="1"/>
    <col min="10" max="10" width="9.25" style="1" customWidth="1"/>
    <col min="11" max="11" width="10.625" style="1" customWidth="1"/>
    <col min="12" max="12" width="13.25" style="1" customWidth="1"/>
    <col min="13" max="16384" width="9" style="1"/>
  </cols>
  <sheetData>
    <row r="1" spans="1:12">
      <c r="A1" s="278" t="s">
        <v>14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</row>
    <row r="2" spans="1:12">
      <c r="A2" s="46" t="s">
        <v>269</v>
      </c>
      <c r="C2" s="224"/>
      <c r="D2" s="224"/>
      <c r="E2" s="224"/>
      <c r="F2" s="224"/>
      <c r="G2" s="224"/>
      <c r="H2" s="224"/>
      <c r="I2" s="224"/>
      <c r="J2" s="224"/>
      <c r="K2" s="224"/>
      <c r="L2" s="224"/>
    </row>
    <row r="3" spans="1:12">
      <c r="A3" s="1" t="s">
        <v>347</v>
      </c>
    </row>
    <row r="4" spans="1:12">
      <c r="A4" s="15" t="s">
        <v>348</v>
      </c>
    </row>
    <row r="5" spans="1:12">
      <c r="A5" s="1" t="s">
        <v>345</v>
      </c>
    </row>
    <row r="6" spans="1:12" ht="21" customHeight="1">
      <c r="A6" s="1" t="s">
        <v>346</v>
      </c>
      <c r="G6" s="3" t="s">
        <v>344</v>
      </c>
      <c r="J6" s="13"/>
    </row>
    <row r="7" spans="1:12">
      <c r="A7" s="1" t="s">
        <v>16</v>
      </c>
      <c r="G7" s="1" t="s">
        <v>297</v>
      </c>
    </row>
    <row r="8" spans="1:12">
      <c r="A8" s="1" t="s">
        <v>15</v>
      </c>
      <c r="G8" s="1" t="s">
        <v>72</v>
      </c>
    </row>
    <row r="9" spans="1:12">
      <c r="A9" s="173" t="s">
        <v>23</v>
      </c>
      <c r="B9" s="306" t="s">
        <v>0</v>
      </c>
      <c r="C9" s="307"/>
      <c r="D9" s="308"/>
      <c r="E9" s="4" t="s">
        <v>1</v>
      </c>
      <c r="F9" s="4" t="s">
        <v>5</v>
      </c>
      <c r="G9" s="4" t="s">
        <v>3</v>
      </c>
      <c r="H9" s="4" t="s">
        <v>5</v>
      </c>
      <c r="I9" s="4" t="s">
        <v>9</v>
      </c>
      <c r="J9" s="4" t="s">
        <v>10</v>
      </c>
      <c r="K9" s="4" t="s">
        <v>12</v>
      </c>
      <c r="L9" s="4" t="s">
        <v>13</v>
      </c>
    </row>
    <row r="10" spans="1:12">
      <c r="A10" s="171" t="s">
        <v>71</v>
      </c>
      <c r="B10" s="6"/>
      <c r="C10" s="7"/>
      <c r="D10" s="8"/>
      <c r="E10" s="5"/>
      <c r="F10" s="5" t="s">
        <v>6</v>
      </c>
      <c r="G10" s="5" t="s">
        <v>4</v>
      </c>
      <c r="H10" s="5" t="s">
        <v>4</v>
      </c>
      <c r="I10" s="5" t="s">
        <v>8</v>
      </c>
      <c r="J10" s="5" t="s">
        <v>11</v>
      </c>
      <c r="K10" s="5"/>
      <c r="L10" s="5"/>
    </row>
    <row r="11" spans="1:12">
      <c r="A11" s="172"/>
      <c r="B11" s="10"/>
      <c r="C11" s="11"/>
      <c r="D11" s="12"/>
      <c r="E11" s="9"/>
      <c r="F11" s="9" t="s">
        <v>2</v>
      </c>
      <c r="G11" s="9" t="s">
        <v>7</v>
      </c>
      <c r="H11" s="9" t="s">
        <v>2</v>
      </c>
      <c r="I11" s="9" t="s">
        <v>2</v>
      </c>
      <c r="J11" s="9" t="s">
        <v>2</v>
      </c>
      <c r="K11" s="9" t="s">
        <v>2</v>
      </c>
      <c r="L11" s="9"/>
    </row>
    <row r="12" spans="1:12">
      <c r="A12" s="192">
        <v>1</v>
      </c>
      <c r="B12" s="193" t="s">
        <v>340</v>
      </c>
      <c r="C12" s="194"/>
      <c r="D12" s="195"/>
      <c r="E12" s="192" t="s">
        <v>17</v>
      </c>
      <c r="F12" s="196">
        <v>2233.64</v>
      </c>
      <c r="G12" s="197">
        <v>0</v>
      </c>
      <c r="H12" s="197">
        <v>0</v>
      </c>
      <c r="I12" s="197">
        <v>0</v>
      </c>
      <c r="J12" s="197">
        <v>0</v>
      </c>
      <c r="K12" s="198">
        <f>ROUND($F$12+$H$12+$I$12+$J$12,2)</f>
        <v>2233.64</v>
      </c>
      <c r="L12" s="192" t="s">
        <v>275</v>
      </c>
    </row>
    <row r="13" spans="1:12">
      <c r="A13" s="199">
        <v>2</v>
      </c>
      <c r="B13" s="200" t="s">
        <v>271</v>
      </c>
      <c r="C13" s="201"/>
      <c r="D13" s="202"/>
      <c r="E13" s="199" t="s">
        <v>168</v>
      </c>
      <c r="F13" s="203">
        <v>18689.72</v>
      </c>
      <c r="G13" s="204">
        <v>0</v>
      </c>
      <c r="H13" s="204">
        <v>0</v>
      </c>
      <c r="I13" s="204">
        <v>0</v>
      </c>
      <c r="J13" s="204">
        <v>4100</v>
      </c>
      <c r="K13" s="205">
        <f>ROUND($F$13+$H$13+$I$13+$J$13,2)</f>
        <v>22789.72</v>
      </c>
      <c r="L13" s="199" t="s">
        <v>275</v>
      </c>
    </row>
    <row r="14" spans="1:12">
      <c r="A14" s="199">
        <v>3</v>
      </c>
      <c r="B14" s="200" t="s">
        <v>341</v>
      </c>
      <c r="C14" s="201"/>
      <c r="D14" s="202"/>
      <c r="E14" s="199" t="s">
        <v>168</v>
      </c>
      <c r="F14" s="203">
        <v>17605.61</v>
      </c>
      <c r="G14" s="204">
        <v>0</v>
      </c>
      <c r="H14" s="204">
        <v>0</v>
      </c>
      <c r="I14" s="204">
        <v>0</v>
      </c>
      <c r="J14" s="204">
        <v>4100</v>
      </c>
      <c r="K14" s="205">
        <f>ROUND($F$14+$H$14+$I$14+$J$14,2)</f>
        <v>21705.61</v>
      </c>
      <c r="L14" s="199" t="s">
        <v>275</v>
      </c>
    </row>
    <row r="15" spans="1:12">
      <c r="A15" s="199">
        <v>4</v>
      </c>
      <c r="B15" s="200" t="s">
        <v>129</v>
      </c>
      <c r="C15" s="201"/>
      <c r="D15" s="202"/>
      <c r="E15" s="199" t="s">
        <v>168</v>
      </c>
      <c r="F15" s="203">
        <v>17293.46</v>
      </c>
      <c r="G15" s="204">
        <v>0</v>
      </c>
      <c r="H15" s="204">
        <v>0</v>
      </c>
      <c r="I15" s="204">
        <v>0</v>
      </c>
      <c r="J15" s="204">
        <v>3300</v>
      </c>
      <c r="K15" s="205">
        <f>ROUND($F$15+$H$15+$I$15+$J$15,2)</f>
        <v>20593.46</v>
      </c>
      <c r="L15" s="199" t="s">
        <v>275</v>
      </c>
    </row>
    <row r="16" spans="1:12">
      <c r="A16" s="199">
        <v>5</v>
      </c>
      <c r="B16" s="200" t="s">
        <v>270</v>
      </c>
      <c r="C16" s="201"/>
      <c r="D16" s="202"/>
      <c r="E16" s="199" t="s">
        <v>168</v>
      </c>
      <c r="F16" s="203">
        <v>20803.740000000002</v>
      </c>
      <c r="G16" s="204">
        <v>0</v>
      </c>
      <c r="H16" s="204">
        <v>0</v>
      </c>
      <c r="I16" s="204">
        <v>0</v>
      </c>
      <c r="J16" s="204">
        <v>3300</v>
      </c>
      <c r="K16" s="205">
        <f>ROUND($F$16+$H$16+$I$16+$J$16,2)</f>
        <v>24103.74</v>
      </c>
      <c r="L16" s="199" t="s">
        <v>274</v>
      </c>
    </row>
    <row r="17" spans="1:12">
      <c r="A17" s="199">
        <v>6</v>
      </c>
      <c r="B17" s="200" t="s">
        <v>334</v>
      </c>
      <c r="C17" s="201"/>
      <c r="D17" s="202"/>
      <c r="E17" s="199" t="s">
        <v>168</v>
      </c>
      <c r="F17" s="203">
        <v>17047.66</v>
      </c>
      <c r="G17" s="204">
        <v>0</v>
      </c>
      <c r="H17" s="204">
        <v>0</v>
      </c>
      <c r="I17" s="204">
        <v>0</v>
      </c>
      <c r="J17" s="204">
        <v>3300</v>
      </c>
      <c r="K17" s="205">
        <f>ROUND($F$17+$H$17+$I$17+$J$17,2)</f>
        <v>20347.66</v>
      </c>
      <c r="L17" s="199" t="s">
        <v>275</v>
      </c>
    </row>
    <row r="18" spans="1:12">
      <c r="A18" s="199">
        <v>7</v>
      </c>
      <c r="B18" s="200" t="s">
        <v>272</v>
      </c>
      <c r="C18" s="201"/>
      <c r="D18" s="202"/>
      <c r="E18" s="199" t="s">
        <v>273</v>
      </c>
      <c r="F18" s="203">
        <v>65.42</v>
      </c>
      <c r="G18" s="204">
        <v>0</v>
      </c>
      <c r="H18" s="204">
        <v>0</v>
      </c>
      <c r="I18" s="204">
        <v>0</v>
      </c>
      <c r="J18" s="204">
        <v>0</v>
      </c>
      <c r="K18" s="205">
        <f>ROUND($F$18+$H$18+$I$18+$J$18,2)</f>
        <v>65.42</v>
      </c>
      <c r="L18" s="199" t="s">
        <v>275</v>
      </c>
    </row>
    <row r="19" spans="1:12">
      <c r="A19" s="199">
        <v>8</v>
      </c>
      <c r="B19" s="201" t="s">
        <v>169</v>
      </c>
      <c r="C19" s="201"/>
      <c r="D19" s="202"/>
      <c r="E19" s="199" t="s">
        <v>168</v>
      </c>
      <c r="F19" s="203">
        <v>2616.8000000000002</v>
      </c>
      <c r="G19" s="204">
        <v>0</v>
      </c>
      <c r="H19" s="204">
        <v>0</v>
      </c>
      <c r="I19" s="204">
        <v>0</v>
      </c>
      <c r="J19" s="204">
        <v>0</v>
      </c>
      <c r="K19" s="205">
        <f>ROUND($F$19+$H$19+$I$19+$J$19,2)</f>
        <v>2616.8000000000002</v>
      </c>
      <c r="L19" s="199" t="s">
        <v>275</v>
      </c>
    </row>
    <row r="20" spans="1:12">
      <c r="A20" s="199">
        <v>9</v>
      </c>
      <c r="B20" s="201" t="s">
        <v>170</v>
      </c>
      <c r="C20" s="201"/>
      <c r="D20" s="202"/>
      <c r="E20" s="199" t="s">
        <v>17</v>
      </c>
      <c r="F20" s="203">
        <v>400</v>
      </c>
      <c r="G20" s="204">
        <v>65</v>
      </c>
      <c r="H20" s="203">
        <v>133.03</v>
      </c>
      <c r="I20" s="204">
        <v>0</v>
      </c>
      <c r="J20" s="204">
        <v>0</v>
      </c>
      <c r="K20" s="205">
        <f>ROUND($F$20+$H$20+$I$20+$J$20,2)</f>
        <v>533.03</v>
      </c>
      <c r="L20" s="199" t="s">
        <v>275</v>
      </c>
    </row>
    <row r="21" spans="1:12">
      <c r="A21" s="199">
        <v>10</v>
      </c>
      <c r="B21" s="201" t="s">
        <v>171</v>
      </c>
      <c r="C21" s="201"/>
      <c r="D21" s="202"/>
      <c r="E21" s="199" t="s">
        <v>17</v>
      </c>
      <c r="F21" s="203">
        <v>407.09</v>
      </c>
      <c r="G21" s="204">
        <v>65</v>
      </c>
      <c r="H21" s="203">
        <v>133.03</v>
      </c>
      <c r="I21" s="204">
        <v>0</v>
      </c>
      <c r="J21" s="204">
        <v>0</v>
      </c>
      <c r="K21" s="205">
        <f>ROUND($F$21+$H$21+$I$21+$J$21,2)</f>
        <v>540.12</v>
      </c>
      <c r="L21" s="199" t="s">
        <v>275</v>
      </c>
    </row>
    <row r="22" spans="1:12">
      <c r="A22" s="199">
        <v>11</v>
      </c>
      <c r="B22" s="201" t="s">
        <v>172</v>
      </c>
      <c r="C22" s="201"/>
      <c r="D22" s="202"/>
      <c r="E22" s="199" t="s">
        <v>17</v>
      </c>
      <c r="F22" s="203">
        <v>299.07</v>
      </c>
      <c r="G22" s="204">
        <v>0</v>
      </c>
      <c r="H22" s="204">
        <v>0</v>
      </c>
      <c r="I22" s="204">
        <v>0</v>
      </c>
      <c r="J22" s="204">
        <v>0</v>
      </c>
      <c r="K22" s="205">
        <f>ROUND($F$22+$H$22+$I$22+$J$22,2)</f>
        <v>299.07</v>
      </c>
      <c r="L22" s="199" t="s">
        <v>275</v>
      </c>
    </row>
    <row r="23" spans="1:12">
      <c r="A23" s="199">
        <v>12</v>
      </c>
      <c r="B23" s="206" t="s">
        <v>207</v>
      </c>
      <c r="C23" s="201"/>
      <c r="D23" s="202"/>
      <c r="E23" s="199" t="s">
        <v>17</v>
      </c>
      <c r="F23" s="222">
        <v>120</v>
      </c>
      <c r="G23" s="204">
        <v>0</v>
      </c>
      <c r="H23" s="204">
        <v>0</v>
      </c>
      <c r="I23" s="204">
        <v>0</v>
      </c>
      <c r="J23" s="204">
        <v>0</v>
      </c>
      <c r="K23" s="205">
        <f>ROUND($F$23+$H$23+$I$23+$J$23,2)</f>
        <v>120</v>
      </c>
      <c r="L23" s="199" t="s">
        <v>174</v>
      </c>
    </row>
    <row r="24" spans="1:12">
      <c r="A24" s="199">
        <v>13</v>
      </c>
      <c r="B24" s="207" t="s">
        <v>299</v>
      </c>
      <c r="C24" s="201"/>
      <c r="D24" s="202"/>
      <c r="E24" s="199" t="s">
        <v>173</v>
      </c>
      <c r="F24" s="203">
        <v>0</v>
      </c>
      <c r="G24" s="204">
        <v>0</v>
      </c>
      <c r="H24" s="204">
        <v>0</v>
      </c>
      <c r="I24" s="204">
        <v>0</v>
      </c>
      <c r="J24" s="204">
        <v>0</v>
      </c>
      <c r="K24" s="205">
        <f>ROUND($F$24+$H$24+$I$24+$J$24,2)</f>
        <v>0</v>
      </c>
      <c r="L24" s="199" t="s">
        <v>174</v>
      </c>
    </row>
    <row r="25" spans="1:12">
      <c r="A25" s="199">
        <v>14</v>
      </c>
      <c r="B25" s="201" t="s">
        <v>175</v>
      </c>
      <c r="C25" s="201"/>
      <c r="D25" s="202"/>
      <c r="E25" s="199" t="s">
        <v>176</v>
      </c>
      <c r="F25" s="203">
        <v>654.21</v>
      </c>
      <c r="G25" s="204">
        <v>0</v>
      </c>
      <c r="H25" s="204">
        <v>0</v>
      </c>
      <c r="I25" s="204">
        <v>0</v>
      </c>
      <c r="J25" s="204">
        <v>0</v>
      </c>
      <c r="K25" s="205">
        <f>ROUND($F$25+$H$25+$I$25+$J$25,2)</f>
        <v>654.21</v>
      </c>
      <c r="L25" s="199" t="s">
        <v>275</v>
      </c>
    </row>
    <row r="26" spans="1:12">
      <c r="A26" s="199">
        <v>15</v>
      </c>
      <c r="B26" s="201" t="s">
        <v>177</v>
      </c>
      <c r="C26" s="201"/>
      <c r="D26" s="202"/>
      <c r="E26" s="199" t="s">
        <v>176</v>
      </c>
      <c r="F26" s="203">
        <v>545.78</v>
      </c>
      <c r="G26" s="204">
        <v>0</v>
      </c>
      <c r="H26" s="204">
        <v>0</v>
      </c>
      <c r="I26" s="204">
        <v>0</v>
      </c>
      <c r="J26" s="204">
        <v>0</v>
      </c>
      <c r="K26" s="205">
        <f>ROUND($F$26+$H$26+$I$26+$J$26,2)</f>
        <v>545.78</v>
      </c>
      <c r="L26" s="199" t="s">
        <v>275</v>
      </c>
    </row>
    <row r="27" spans="1:12" ht="22.5">
      <c r="A27" s="199">
        <v>16</v>
      </c>
      <c r="B27" s="201" t="s">
        <v>178</v>
      </c>
      <c r="C27" s="201"/>
      <c r="D27" s="202"/>
      <c r="E27" s="199" t="s">
        <v>173</v>
      </c>
      <c r="F27" s="208">
        <v>0</v>
      </c>
      <c r="G27" s="204">
        <v>0</v>
      </c>
      <c r="H27" s="204">
        <v>0</v>
      </c>
      <c r="I27" s="204">
        <v>0</v>
      </c>
      <c r="J27" s="204">
        <v>0</v>
      </c>
      <c r="K27" s="205">
        <f>ROUND($F$27+$H$27+$I$27+$J$27,2)</f>
        <v>0</v>
      </c>
      <c r="L27" s="199" t="s">
        <v>174</v>
      </c>
    </row>
    <row r="28" spans="1:12">
      <c r="A28" s="199">
        <v>17</v>
      </c>
      <c r="B28" s="209" t="s">
        <v>179</v>
      </c>
      <c r="C28" s="201"/>
      <c r="D28" s="202"/>
      <c r="E28" s="199" t="s">
        <v>114</v>
      </c>
      <c r="F28" s="203">
        <v>32.71</v>
      </c>
      <c r="G28" s="204">
        <v>0</v>
      </c>
      <c r="H28" s="204">
        <v>0</v>
      </c>
      <c r="I28" s="204">
        <v>0</v>
      </c>
      <c r="J28" s="204">
        <v>0</v>
      </c>
      <c r="K28" s="205">
        <f>ROUND($F$28+$H$28+$I$28+$J$28,2)</f>
        <v>32.71</v>
      </c>
      <c r="L28" s="199" t="s">
        <v>275</v>
      </c>
    </row>
    <row r="29" spans="1:12">
      <c r="A29" s="199">
        <v>18</v>
      </c>
      <c r="B29" s="209" t="s">
        <v>235</v>
      </c>
      <c r="C29" s="201"/>
      <c r="D29" s="202"/>
      <c r="E29" s="199" t="s">
        <v>173</v>
      </c>
      <c r="F29" s="203">
        <v>0</v>
      </c>
      <c r="G29" s="204">
        <v>0</v>
      </c>
      <c r="H29" s="204">
        <v>0</v>
      </c>
      <c r="I29" s="204">
        <v>0</v>
      </c>
      <c r="J29" s="204">
        <v>0</v>
      </c>
      <c r="K29" s="205">
        <f>ROUND($F$29+$H$29+$I$29+$J$29,2)</f>
        <v>0</v>
      </c>
      <c r="L29" s="199" t="s">
        <v>174</v>
      </c>
    </row>
    <row r="30" spans="1:12">
      <c r="A30" s="199">
        <v>19</v>
      </c>
      <c r="B30" s="210" t="s">
        <v>241</v>
      </c>
      <c r="C30" s="201"/>
      <c r="D30" s="202"/>
      <c r="E30" s="199" t="s">
        <v>173</v>
      </c>
      <c r="F30" s="203">
        <v>0</v>
      </c>
      <c r="G30" s="204">
        <v>0</v>
      </c>
      <c r="H30" s="204">
        <v>0</v>
      </c>
      <c r="I30" s="204">
        <v>0</v>
      </c>
      <c r="J30" s="204">
        <v>0</v>
      </c>
      <c r="K30" s="205">
        <f>ROUND($F$30+$H$30+$I$30+$J$30,2)</f>
        <v>0</v>
      </c>
      <c r="L30" s="199" t="s">
        <v>275</v>
      </c>
    </row>
    <row r="31" spans="1:12">
      <c r="A31" s="199">
        <v>20</v>
      </c>
      <c r="B31" s="211" t="s">
        <v>116</v>
      </c>
      <c r="C31" s="201"/>
      <c r="D31" s="202"/>
      <c r="E31" s="199" t="s">
        <v>173</v>
      </c>
      <c r="F31" s="208">
        <v>3.79</v>
      </c>
      <c r="G31" s="204">
        <v>0</v>
      </c>
      <c r="H31" s="204">
        <v>0</v>
      </c>
      <c r="I31" s="204">
        <v>0</v>
      </c>
      <c r="J31" s="204">
        <v>0</v>
      </c>
      <c r="K31" s="205">
        <f>ROUND($F$31+$H$31+$I$31+$J$31,2)</f>
        <v>3.79</v>
      </c>
      <c r="L31" s="199" t="s">
        <v>174</v>
      </c>
    </row>
    <row r="32" spans="1:12">
      <c r="A32" s="199">
        <v>21</v>
      </c>
      <c r="B32" s="211" t="s">
        <v>284</v>
      </c>
      <c r="C32" s="201"/>
      <c r="D32" s="202"/>
      <c r="E32" s="199" t="s">
        <v>22</v>
      </c>
      <c r="F32" s="208">
        <v>25</v>
      </c>
      <c r="G32" s="204">
        <v>0</v>
      </c>
      <c r="H32" s="204">
        <v>0</v>
      </c>
      <c r="I32" s="204">
        <v>0</v>
      </c>
      <c r="J32" s="204">
        <v>0</v>
      </c>
      <c r="K32" s="205">
        <f>ROUND($F$32+$H$32+$I$32+$J$32,2)</f>
        <v>25</v>
      </c>
      <c r="L32" s="199" t="s">
        <v>174</v>
      </c>
    </row>
    <row r="33" spans="1:12">
      <c r="A33" s="199">
        <v>22</v>
      </c>
      <c r="B33" s="211" t="s">
        <v>118</v>
      </c>
      <c r="C33" s="201"/>
      <c r="D33" s="202"/>
      <c r="E33" s="199" t="s">
        <v>119</v>
      </c>
      <c r="F33" s="208">
        <v>27</v>
      </c>
      <c r="G33" s="204">
        <v>0</v>
      </c>
      <c r="H33" s="204">
        <v>0</v>
      </c>
      <c r="I33" s="204">
        <v>0</v>
      </c>
      <c r="J33" s="204">
        <v>0</v>
      </c>
      <c r="K33" s="205">
        <f>ROUND($F$33+$H$33+$I$33+$J$33,2)</f>
        <v>27</v>
      </c>
      <c r="L33" s="199" t="s">
        <v>174</v>
      </c>
    </row>
    <row r="34" spans="1:12">
      <c r="A34" s="199">
        <v>23</v>
      </c>
      <c r="B34" s="211" t="s">
        <v>122</v>
      </c>
      <c r="C34" s="201"/>
      <c r="D34" s="202"/>
      <c r="E34" s="199" t="s">
        <v>34</v>
      </c>
      <c r="F34" s="208">
        <v>10</v>
      </c>
      <c r="G34" s="204">
        <v>0</v>
      </c>
      <c r="H34" s="204">
        <v>0</v>
      </c>
      <c r="I34" s="204">
        <v>0</v>
      </c>
      <c r="J34" s="204">
        <v>0</v>
      </c>
      <c r="K34" s="205">
        <f>ROUND($F$34+$H$34+$I$34+$J$34,2)</f>
        <v>10</v>
      </c>
      <c r="L34" s="199" t="s">
        <v>174</v>
      </c>
    </row>
    <row r="35" spans="1:12">
      <c r="A35" s="199"/>
      <c r="B35" s="211"/>
      <c r="C35" s="201"/>
      <c r="D35" s="202"/>
      <c r="E35" s="199"/>
      <c r="F35" s="223"/>
      <c r="G35" s="204"/>
      <c r="H35" s="204"/>
      <c r="I35" s="204"/>
      <c r="J35" s="204"/>
      <c r="K35" s="205"/>
      <c r="L35" s="199"/>
    </row>
    <row r="36" spans="1:12">
      <c r="A36" s="212"/>
      <c r="B36" s="213"/>
      <c r="C36" s="214"/>
      <c r="D36" s="215"/>
      <c r="E36" s="216"/>
      <c r="F36" s="217"/>
      <c r="G36" s="216"/>
      <c r="H36" s="216"/>
      <c r="I36" s="216"/>
      <c r="J36" s="216"/>
      <c r="K36" s="216"/>
      <c r="L36" s="216"/>
    </row>
    <row r="37" spans="1:12">
      <c r="A37" s="2"/>
    </row>
  </sheetData>
  <mergeCells count="2">
    <mergeCell ref="A1:L1"/>
    <mergeCell ref="B9:D9"/>
  </mergeCells>
  <printOptions horizontalCentered="1"/>
  <pageMargins left="0.59055118110236227" right="0" top="0.59055118110236227" bottom="0.19685039370078741" header="0.31496062992125984" footer="0.31496062992125984"/>
  <pageSetup paperSize="9" scale="7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01"/>
  <sheetViews>
    <sheetView view="pageBreakPreview" topLeftCell="B79" zoomScaleNormal="100" zoomScaleSheetLayoutView="100" workbookViewId="0">
      <selection activeCell="T99" sqref="T99"/>
    </sheetView>
  </sheetViews>
  <sheetFormatPr defaultRowHeight="21"/>
  <cols>
    <col min="1" max="1" width="1.375" style="1" customWidth="1"/>
    <col min="2" max="2" width="15.375" style="1" customWidth="1"/>
    <col min="3" max="3" width="19.25" style="1" customWidth="1"/>
    <col min="4" max="4" width="3.75" style="1" customWidth="1"/>
    <col min="5" max="5" width="7.875" style="1" customWidth="1"/>
    <col min="6" max="6" width="6.5" style="1" customWidth="1"/>
    <col min="7" max="7" width="6.875" style="1" customWidth="1"/>
    <col min="8" max="8" width="3" style="1" customWidth="1"/>
    <col min="9" max="9" width="6.5" style="1" customWidth="1"/>
    <col min="10" max="10" width="9" style="1"/>
    <col min="11" max="11" width="2.625" style="1" customWidth="1"/>
    <col min="12" max="12" width="5.625" style="1" customWidth="1"/>
    <col min="13" max="13" width="5.125" style="1" customWidth="1"/>
    <col min="14" max="14" width="3.875" style="1" customWidth="1"/>
    <col min="15" max="15" width="3.75" style="1" customWidth="1"/>
    <col min="16" max="16" width="10.5" style="174" customWidth="1"/>
    <col min="17" max="17" width="8.75" style="1" customWidth="1"/>
    <col min="18" max="20" width="9" style="1"/>
    <col min="21" max="21" width="15" style="1" customWidth="1"/>
    <col min="22" max="16384" width="9" style="1"/>
  </cols>
  <sheetData>
    <row r="1" spans="2:17">
      <c r="B1" s="72" t="s">
        <v>312</v>
      </c>
    </row>
    <row r="2" spans="2:17">
      <c r="B2" s="1" t="s">
        <v>337</v>
      </c>
      <c r="O2" s="234" t="s">
        <v>81</v>
      </c>
      <c r="P2" s="240">
        <v>0</v>
      </c>
      <c r="Q2" s="234" t="s">
        <v>130</v>
      </c>
    </row>
    <row r="3" spans="2:17" ht="21.75" thickBot="1">
      <c r="N3" s="241" t="s">
        <v>181</v>
      </c>
      <c r="O3" s="234" t="s">
        <v>81</v>
      </c>
      <c r="P3" s="245">
        <f>ROUNDDOWN(P2,2)</f>
        <v>0</v>
      </c>
      <c r="Q3" s="234" t="s">
        <v>130</v>
      </c>
    </row>
    <row r="4" spans="2:17" ht="21.75" thickTop="1"/>
    <row r="5" spans="2:17">
      <c r="B5" s="252" t="s">
        <v>203</v>
      </c>
      <c r="C5" s="111"/>
      <c r="D5" s="112"/>
      <c r="E5" s="49"/>
    </row>
    <row r="6" spans="2:17">
      <c r="B6" s="15" t="s">
        <v>204</v>
      </c>
      <c r="C6" s="15"/>
      <c r="D6" s="15"/>
      <c r="E6" s="64"/>
      <c r="O6" s="49" t="s">
        <v>21</v>
      </c>
      <c r="P6" s="246">
        <f>ค่าวัสดุและดำเนินการ!K20</f>
        <v>533.03</v>
      </c>
      <c r="Q6" s="113" t="s">
        <v>221</v>
      </c>
    </row>
    <row r="7" spans="2:17">
      <c r="B7" s="137" t="s">
        <v>205</v>
      </c>
      <c r="C7" s="48"/>
      <c r="D7" s="318">
        <v>0</v>
      </c>
      <c r="E7" s="318"/>
      <c r="F7" s="50" t="s">
        <v>183</v>
      </c>
      <c r="O7" s="49" t="s">
        <v>21</v>
      </c>
      <c r="P7" s="261">
        <v>0</v>
      </c>
      <c r="Q7" s="113" t="s">
        <v>221</v>
      </c>
    </row>
    <row r="8" spans="2:17">
      <c r="B8" s="48" t="s">
        <v>74</v>
      </c>
      <c r="C8" s="48"/>
      <c r="D8" s="48"/>
      <c r="E8" s="49"/>
      <c r="O8" s="49"/>
      <c r="P8" s="138">
        <f>ROUND(SUM(P6:P7),2)</f>
        <v>533.03</v>
      </c>
      <c r="Q8" s="113" t="s">
        <v>221</v>
      </c>
    </row>
    <row r="9" spans="2:17">
      <c r="B9" s="48" t="s">
        <v>338</v>
      </c>
      <c r="C9" s="242">
        <v>1.25</v>
      </c>
      <c r="D9" s="243" t="s">
        <v>133</v>
      </c>
      <c r="E9" s="244">
        <f>P6</f>
        <v>533.03</v>
      </c>
      <c r="F9" s="244"/>
      <c r="O9" s="49" t="s">
        <v>21</v>
      </c>
      <c r="P9" s="247">
        <f>ROUND(E9*C9,2)</f>
        <v>666.29</v>
      </c>
      <c r="Q9" s="113" t="s">
        <v>134</v>
      </c>
    </row>
    <row r="10" spans="2:17">
      <c r="B10" s="15" t="s">
        <v>254</v>
      </c>
      <c r="C10" s="15"/>
      <c r="D10" s="15"/>
      <c r="E10" s="64"/>
      <c r="O10" s="49" t="s">
        <v>21</v>
      </c>
      <c r="P10" s="261">
        <v>0</v>
      </c>
      <c r="Q10" s="113" t="s">
        <v>134</v>
      </c>
    </row>
    <row r="11" spans="2:17">
      <c r="B11" s="53" t="s">
        <v>184</v>
      </c>
      <c r="C11" s="48"/>
      <c r="D11" s="48"/>
      <c r="E11" s="49"/>
      <c r="O11" s="49"/>
      <c r="P11" s="54">
        <f>ROUND(SUM(P9:P10),2)</f>
        <v>666.29</v>
      </c>
      <c r="Q11" s="113" t="s">
        <v>221</v>
      </c>
    </row>
    <row r="12" spans="2:17" ht="21.75" thickBot="1">
      <c r="N12" s="49" t="s">
        <v>181</v>
      </c>
      <c r="P12" s="245">
        <f>ROUNDDOWN(P11,0)</f>
        <v>666</v>
      </c>
      <c r="Q12" s="113" t="s">
        <v>221</v>
      </c>
    </row>
    <row r="13" spans="2:17" ht="21.75" thickTop="1">
      <c r="N13" s="49"/>
      <c r="P13" s="52"/>
      <c r="Q13" s="113"/>
    </row>
    <row r="14" spans="2:17">
      <c r="B14" s="252" t="s">
        <v>206</v>
      </c>
      <c r="N14" s="49"/>
      <c r="P14" s="52"/>
      <c r="Q14" s="113"/>
    </row>
    <row r="15" spans="2:17">
      <c r="B15" s="15" t="s">
        <v>313</v>
      </c>
      <c r="N15" s="64"/>
      <c r="O15" s="49" t="s">
        <v>21</v>
      </c>
      <c r="P15" s="259">
        <v>0</v>
      </c>
      <c r="Q15" s="113" t="s">
        <v>221</v>
      </c>
    </row>
    <row r="16" spans="2:17">
      <c r="B16" s="53" t="s">
        <v>182</v>
      </c>
      <c r="E16" s="262">
        <v>0</v>
      </c>
      <c r="F16" s="50" t="s">
        <v>183</v>
      </c>
      <c r="N16" s="49"/>
      <c r="O16" s="49" t="s">
        <v>21</v>
      </c>
      <c r="P16" s="260">
        <v>0</v>
      </c>
      <c r="Q16" s="113" t="s">
        <v>221</v>
      </c>
    </row>
    <row r="17" spans="2:17">
      <c r="B17" s="48" t="s">
        <v>12</v>
      </c>
      <c r="N17" s="49"/>
      <c r="O17" s="49"/>
      <c r="P17" s="114">
        <f>SUM(P15:P16)</f>
        <v>0</v>
      </c>
      <c r="Q17" s="113" t="s">
        <v>221</v>
      </c>
    </row>
    <row r="18" spans="2:17">
      <c r="B18" s="53" t="s">
        <v>319</v>
      </c>
      <c r="D18" s="243" t="s">
        <v>133</v>
      </c>
      <c r="E18" s="174">
        <v>1.25</v>
      </c>
      <c r="N18" s="49"/>
      <c r="O18" s="49"/>
      <c r="P18" s="115">
        <f>ROUND(P17*E18,2)</f>
        <v>0</v>
      </c>
      <c r="Q18" s="113" t="s">
        <v>221</v>
      </c>
    </row>
    <row r="19" spans="2:17">
      <c r="B19" s="15" t="s">
        <v>314</v>
      </c>
      <c r="N19" s="64" t="s">
        <v>73</v>
      </c>
      <c r="O19" s="49" t="s">
        <v>21</v>
      </c>
      <c r="P19" s="118">
        <v>0</v>
      </c>
      <c r="Q19" s="113" t="s">
        <v>221</v>
      </c>
    </row>
    <row r="20" spans="2:17">
      <c r="B20" s="53" t="s">
        <v>184</v>
      </c>
      <c r="N20" s="49" t="s">
        <v>73</v>
      </c>
      <c r="O20" s="49"/>
      <c r="P20" s="54">
        <f>ROUND(SUM(P18:P19),2)</f>
        <v>0</v>
      </c>
      <c r="Q20" s="113" t="s">
        <v>221</v>
      </c>
    </row>
    <row r="21" spans="2:17" ht="21.75" thickBot="1">
      <c r="N21" s="49" t="s">
        <v>181</v>
      </c>
      <c r="P21" s="65">
        <f>ROUNDDOWN(P20,0)</f>
        <v>0</v>
      </c>
      <c r="Q21" s="113" t="s">
        <v>221</v>
      </c>
    </row>
    <row r="22" spans="2:17" ht="21.75" thickTop="1">
      <c r="N22" s="49"/>
      <c r="P22" s="254"/>
      <c r="Q22" s="113"/>
    </row>
    <row r="23" spans="2:17">
      <c r="B23" s="252" t="s">
        <v>185</v>
      </c>
      <c r="N23" s="49"/>
      <c r="P23" s="254"/>
      <c r="Q23" s="113"/>
    </row>
    <row r="24" spans="2:17">
      <c r="B24" s="15" t="s">
        <v>186</v>
      </c>
      <c r="N24" s="64"/>
      <c r="O24" s="49" t="s">
        <v>21</v>
      </c>
      <c r="P24" s="259">
        <v>0</v>
      </c>
      <c r="Q24" s="113" t="s">
        <v>221</v>
      </c>
    </row>
    <row r="25" spans="2:17">
      <c r="B25" s="48" t="s">
        <v>315</v>
      </c>
      <c r="N25" s="64"/>
      <c r="O25" s="49"/>
      <c r="P25" s="259">
        <v>0</v>
      </c>
      <c r="Q25" s="113" t="s">
        <v>221</v>
      </c>
    </row>
    <row r="26" spans="2:17">
      <c r="B26" s="53" t="s">
        <v>317</v>
      </c>
      <c r="E26" s="262">
        <v>0</v>
      </c>
      <c r="F26" s="50" t="s">
        <v>183</v>
      </c>
      <c r="N26" s="49"/>
      <c r="O26" s="49" t="s">
        <v>21</v>
      </c>
      <c r="P26" s="259">
        <v>0</v>
      </c>
      <c r="Q26" s="113" t="s">
        <v>221</v>
      </c>
    </row>
    <row r="27" spans="2:17">
      <c r="B27" s="48" t="s">
        <v>12</v>
      </c>
      <c r="N27" s="49"/>
      <c r="O27" s="49"/>
      <c r="P27" s="116">
        <f>ROUND(SUM(P24:P26),2)</f>
        <v>0</v>
      </c>
      <c r="Q27" s="113" t="s">
        <v>221</v>
      </c>
    </row>
    <row r="28" spans="2:17">
      <c r="B28" s="48" t="s">
        <v>320</v>
      </c>
      <c r="D28" s="243" t="s">
        <v>133</v>
      </c>
      <c r="E28" s="174">
        <v>1.6</v>
      </c>
      <c r="N28" s="49"/>
      <c r="O28" s="49"/>
      <c r="P28" s="117">
        <f>ROUND(P27*E28,2)</f>
        <v>0</v>
      </c>
      <c r="Q28" s="113" t="s">
        <v>221</v>
      </c>
    </row>
    <row r="29" spans="2:17">
      <c r="B29" s="48" t="s">
        <v>321</v>
      </c>
      <c r="N29" s="49"/>
      <c r="O29" s="49" t="s">
        <v>21</v>
      </c>
      <c r="P29" s="118">
        <v>0</v>
      </c>
      <c r="Q29" s="113" t="s">
        <v>221</v>
      </c>
    </row>
    <row r="30" spans="2:17">
      <c r="B30" s="48" t="s">
        <v>318</v>
      </c>
      <c r="N30" s="49"/>
      <c r="O30" s="49" t="s">
        <v>21</v>
      </c>
      <c r="P30" s="118">
        <v>0</v>
      </c>
      <c r="Q30" s="113" t="s">
        <v>221</v>
      </c>
    </row>
    <row r="31" spans="2:17">
      <c r="B31" s="53" t="s">
        <v>184</v>
      </c>
      <c r="N31" s="49"/>
      <c r="O31" s="49" t="s">
        <v>21</v>
      </c>
      <c r="P31" s="256">
        <f>ROUND(SUM(P29:P30),2)</f>
        <v>0</v>
      </c>
      <c r="Q31" s="113" t="s">
        <v>221</v>
      </c>
    </row>
    <row r="32" spans="2:17" ht="21.75" thickBot="1">
      <c r="N32" s="49" t="s">
        <v>181</v>
      </c>
      <c r="O32" s="49" t="s">
        <v>21</v>
      </c>
      <c r="P32" s="119">
        <f>ROUNDDOWN(P31,0)</f>
        <v>0</v>
      </c>
      <c r="Q32" s="113" t="s">
        <v>221</v>
      </c>
    </row>
    <row r="33" spans="2:17" ht="21.75" thickTop="1">
      <c r="N33" s="49"/>
      <c r="O33" s="49"/>
      <c r="P33" s="255"/>
      <c r="Q33" s="113"/>
    </row>
    <row r="34" spans="2:17">
      <c r="B34" s="252" t="s">
        <v>187</v>
      </c>
      <c r="N34" s="49"/>
      <c r="O34" s="49"/>
      <c r="P34" s="255"/>
      <c r="Q34" s="113"/>
    </row>
    <row r="35" spans="2:17">
      <c r="B35" s="48" t="s">
        <v>188</v>
      </c>
      <c r="N35" s="49"/>
      <c r="O35" s="49" t="s">
        <v>21</v>
      </c>
      <c r="P35" s="258">
        <v>0</v>
      </c>
      <c r="Q35" s="113" t="s">
        <v>221</v>
      </c>
    </row>
    <row r="36" spans="2:17">
      <c r="B36" s="48" t="s">
        <v>315</v>
      </c>
      <c r="N36" s="49"/>
      <c r="O36" s="49" t="s">
        <v>21</v>
      </c>
      <c r="P36" s="118">
        <v>0</v>
      </c>
      <c r="Q36" s="113" t="s">
        <v>221</v>
      </c>
    </row>
    <row r="37" spans="2:17">
      <c r="B37" s="53" t="s">
        <v>317</v>
      </c>
      <c r="E37" s="262">
        <v>0</v>
      </c>
      <c r="F37" s="50" t="s">
        <v>183</v>
      </c>
      <c r="N37" s="49"/>
      <c r="O37" s="49" t="s">
        <v>21</v>
      </c>
      <c r="P37" s="118">
        <v>0</v>
      </c>
      <c r="Q37" s="113" t="s">
        <v>221</v>
      </c>
    </row>
    <row r="38" spans="2:17">
      <c r="B38" s="48" t="s">
        <v>74</v>
      </c>
      <c r="N38" s="49"/>
      <c r="O38" s="49"/>
      <c r="P38" s="54">
        <f>ROUND(SUM(P35:P37),2)</f>
        <v>0</v>
      </c>
      <c r="Q38" s="113" t="s">
        <v>221</v>
      </c>
    </row>
    <row r="39" spans="2:17">
      <c r="B39" s="48" t="s">
        <v>320</v>
      </c>
      <c r="D39" s="243" t="s">
        <v>133</v>
      </c>
      <c r="E39" s="174">
        <f>G48</f>
        <v>1.6</v>
      </c>
      <c r="N39" s="49"/>
      <c r="O39" s="49" t="s">
        <v>21</v>
      </c>
      <c r="P39" s="120">
        <f>ROUND(P38*E39,2)</f>
        <v>0</v>
      </c>
      <c r="Q39" s="113" t="s">
        <v>221</v>
      </c>
    </row>
    <row r="40" spans="2:17">
      <c r="B40" s="48" t="s">
        <v>321</v>
      </c>
      <c r="N40" s="49"/>
      <c r="O40" s="49" t="s">
        <v>21</v>
      </c>
      <c r="P40" s="118">
        <v>0</v>
      </c>
      <c r="Q40" s="113" t="s">
        <v>221</v>
      </c>
    </row>
    <row r="41" spans="2:17">
      <c r="B41" s="48" t="s">
        <v>322</v>
      </c>
      <c r="N41" s="49"/>
      <c r="O41" s="49" t="s">
        <v>21</v>
      </c>
      <c r="P41" s="118">
        <v>0</v>
      </c>
      <c r="Q41" s="113" t="s">
        <v>221</v>
      </c>
    </row>
    <row r="42" spans="2:17">
      <c r="B42" s="48" t="s">
        <v>75</v>
      </c>
      <c r="N42" s="49"/>
      <c r="O42" s="49" t="s">
        <v>21</v>
      </c>
      <c r="P42" s="257">
        <f>ROUND(SUM(P39:P41),2)</f>
        <v>0</v>
      </c>
      <c r="Q42" s="113" t="s">
        <v>221</v>
      </c>
    </row>
    <row r="43" spans="2:17" ht="21.75" thickBot="1">
      <c r="N43" s="49" t="s">
        <v>181</v>
      </c>
      <c r="O43" s="49" t="s">
        <v>21</v>
      </c>
      <c r="P43" s="65">
        <f>ROUNDDOWN(P42,0)</f>
        <v>0</v>
      </c>
      <c r="Q43" s="113" t="s">
        <v>221</v>
      </c>
    </row>
    <row r="44" spans="2:17" ht="22.5" thickTop="1" thickBot="1">
      <c r="N44" s="49"/>
      <c r="O44" s="49"/>
      <c r="P44" s="253"/>
      <c r="Q44" s="113"/>
    </row>
    <row r="45" spans="2:17" ht="21.75" thickTop="1">
      <c r="C45" s="265" t="s">
        <v>323</v>
      </c>
      <c r="N45" s="49"/>
      <c r="O45" s="49"/>
      <c r="P45" s="263"/>
      <c r="Q45" s="113"/>
    </row>
    <row r="46" spans="2:17">
      <c r="G46" s="233" t="s">
        <v>325</v>
      </c>
      <c r="H46" s="233"/>
      <c r="I46" s="233" t="s">
        <v>326</v>
      </c>
      <c r="N46" s="49"/>
      <c r="O46" s="49"/>
      <c r="P46" s="264"/>
      <c r="Q46" s="113"/>
    </row>
    <row r="47" spans="2:17">
      <c r="C47" s="1" t="s">
        <v>327</v>
      </c>
      <c r="G47" s="174">
        <v>1.4</v>
      </c>
      <c r="H47" s="174"/>
      <c r="I47" s="174">
        <v>1.45</v>
      </c>
      <c r="N47" s="49"/>
      <c r="O47" s="49"/>
      <c r="P47" s="264"/>
      <c r="Q47" s="113"/>
    </row>
    <row r="48" spans="2:17">
      <c r="C48" s="1" t="s">
        <v>328</v>
      </c>
      <c r="G48" s="174">
        <v>1.6</v>
      </c>
      <c r="H48" s="174"/>
      <c r="I48" s="174">
        <v>1.7</v>
      </c>
      <c r="N48" s="49"/>
      <c r="O48" s="49"/>
      <c r="P48" s="264"/>
      <c r="Q48" s="113"/>
    </row>
    <row r="49" spans="1:21">
      <c r="C49" s="1" t="s">
        <v>329</v>
      </c>
      <c r="G49" s="174">
        <v>1.85</v>
      </c>
      <c r="H49" s="174"/>
      <c r="I49" s="174">
        <v>1.9</v>
      </c>
      <c r="N49" s="49"/>
      <c r="O49" s="49"/>
      <c r="P49" s="264"/>
      <c r="Q49" s="113"/>
    </row>
    <row r="50" spans="1:21">
      <c r="C50" s="1" t="s">
        <v>324</v>
      </c>
      <c r="N50" s="49"/>
      <c r="O50" s="49"/>
      <c r="P50" s="264"/>
      <c r="Q50" s="113"/>
    </row>
    <row r="51" spans="1:21">
      <c r="A51" s="71"/>
      <c r="B51" s="72" t="s">
        <v>281</v>
      </c>
      <c r="C51" s="71"/>
      <c r="D51" s="71"/>
      <c r="E51" s="71"/>
      <c r="F51" s="71"/>
      <c r="G51" s="71"/>
      <c r="H51" s="73"/>
      <c r="I51" s="72"/>
      <c r="J51" s="71"/>
      <c r="K51" s="71"/>
      <c r="L51" s="74" t="s">
        <v>131</v>
      </c>
      <c r="M51" s="105">
        <v>15</v>
      </c>
      <c r="N51" s="76" t="s">
        <v>132</v>
      </c>
      <c r="O51" s="71"/>
      <c r="P51" s="248"/>
      <c r="Q51" s="71"/>
    </row>
    <row r="52" spans="1:21">
      <c r="A52" s="71"/>
      <c r="B52" s="71" t="s">
        <v>280</v>
      </c>
      <c r="C52" s="71"/>
      <c r="D52" s="234" t="s">
        <v>139</v>
      </c>
      <c r="E52" s="309">
        <v>2</v>
      </c>
      <c r="F52" s="309"/>
      <c r="G52" s="78" t="s">
        <v>133</v>
      </c>
      <c r="H52" s="309">
        <v>10</v>
      </c>
      <c r="I52" s="309"/>
      <c r="J52" s="71"/>
      <c r="K52" s="71"/>
      <c r="L52" s="74"/>
      <c r="M52" s="75"/>
      <c r="N52" s="76"/>
      <c r="O52" s="234" t="s">
        <v>81</v>
      </c>
      <c r="P52" s="106">
        <f>ROUND(E52*H52,2)</f>
        <v>20</v>
      </c>
      <c r="Q52" s="234" t="s">
        <v>22</v>
      </c>
      <c r="R52" s="159"/>
    </row>
    <row r="53" spans="1:21">
      <c r="A53" s="71"/>
      <c r="B53" s="71" t="s">
        <v>141</v>
      </c>
      <c r="C53" s="71"/>
      <c r="D53" s="234" t="s">
        <v>139</v>
      </c>
      <c r="E53" s="309">
        <v>4</v>
      </c>
      <c r="F53" s="309"/>
      <c r="G53" s="78" t="s">
        <v>133</v>
      </c>
      <c r="H53" s="309">
        <v>280</v>
      </c>
      <c r="I53" s="309"/>
      <c r="J53" s="78" t="s">
        <v>133</v>
      </c>
      <c r="K53" s="315">
        <f>M51/100</f>
        <v>0.15</v>
      </c>
      <c r="L53" s="315"/>
      <c r="M53" s="71"/>
      <c r="N53" s="71"/>
      <c r="O53" s="234" t="s">
        <v>81</v>
      </c>
      <c r="P53" s="106">
        <f>ROUND(E53*H53*K53,2)</f>
        <v>168</v>
      </c>
      <c r="Q53" s="234" t="s">
        <v>20</v>
      </c>
      <c r="R53" s="159"/>
    </row>
    <row r="54" spans="1:21">
      <c r="A54" s="71"/>
      <c r="B54" s="71" t="s">
        <v>138</v>
      </c>
      <c r="C54" s="71"/>
      <c r="D54" s="234" t="s">
        <v>139</v>
      </c>
      <c r="E54" s="317">
        <v>150000</v>
      </c>
      <c r="F54" s="317"/>
      <c r="G54" s="78" t="s">
        <v>95</v>
      </c>
      <c r="H54" s="317">
        <v>5000</v>
      </c>
      <c r="I54" s="317"/>
      <c r="J54" s="71" t="s">
        <v>20</v>
      </c>
      <c r="K54" s="71"/>
      <c r="L54" s="71"/>
      <c r="M54" s="71"/>
      <c r="N54" s="71"/>
      <c r="O54" s="234" t="s">
        <v>81</v>
      </c>
      <c r="P54" s="106">
        <f>ROUND(E54/H54,2)</f>
        <v>30</v>
      </c>
      <c r="Q54" s="234" t="s">
        <v>134</v>
      </c>
    </row>
    <row r="55" spans="1:21">
      <c r="A55" s="71"/>
      <c r="B55" s="71" t="s">
        <v>340</v>
      </c>
      <c r="C55" s="71"/>
      <c r="D55" s="234" t="s">
        <v>139</v>
      </c>
      <c r="E55" s="310">
        <f>ค่าวัสดุและดำเนินการ!K12</f>
        <v>2233.64</v>
      </c>
      <c r="F55" s="310"/>
      <c r="G55" s="78" t="s">
        <v>339</v>
      </c>
      <c r="H55" s="316"/>
      <c r="I55" s="316"/>
      <c r="J55" s="84"/>
      <c r="K55" s="71"/>
      <c r="L55" s="71"/>
      <c r="M55" s="71"/>
      <c r="N55" s="71"/>
      <c r="O55" s="234" t="s">
        <v>81</v>
      </c>
      <c r="P55" s="106">
        <f>ROUND(E55+H55,2)</f>
        <v>2233.64</v>
      </c>
      <c r="Q55" s="234" t="s">
        <v>134</v>
      </c>
    </row>
    <row r="56" spans="1:21">
      <c r="A56" s="71"/>
      <c r="B56" s="71" t="s">
        <v>135</v>
      </c>
      <c r="C56" s="71"/>
      <c r="D56" s="71"/>
      <c r="E56" s="85"/>
      <c r="F56" s="84"/>
      <c r="G56" s="84"/>
      <c r="H56" s="85"/>
      <c r="I56" s="80"/>
      <c r="J56" s="80"/>
      <c r="K56" s="71"/>
      <c r="L56" s="71"/>
      <c r="M56" s="71"/>
      <c r="N56" s="71"/>
      <c r="O56" s="234" t="s">
        <v>81</v>
      </c>
      <c r="P56" s="249">
        <f>P52</f>
        <v>20</v>
      </c>
      <c r="Q56" s="234" t="s">
        <v>22</v>
      </c>
    </row>
    <row r="57" spans="1:21">
      <c r="A57" s="71"/>
      <c r="B57" s="71" t="s">
        <v>140</v>
      </c>
      <c r="C57" s="71"/>
      <c r="D57" s="234" t="s">
        <v>139</v>
      </c>
      <c r="E57" s="313">
        <f>P56</f>
        <v>20</v>
      </c>
      <c r="F57" s="313"/>
      <c r="G57" s="78" t="s">
        <v>133</v>
      </c>
      <c r="H57" s="313">
        <f>M51</f>
        <v>15</v>
      </c>
      <c r="I57" s="313"/>
      <c r="J57" s="78" t="s">
        <v>142</v>
      </c>
      <c r="K57" s="71"/>
      <c r="L57" s="71"/>
      <c r="M57" s="71"/>
      <c r="N57" s="71"/>
      <c r="O57" s="234" t="s">
        <v>81</v>
      </c>
      <c r="P57" s="106">
        <f>ROUND(E57*(H57/100),2)</f>
        <v>3</v>
      </c>
      <c r="Q57" s="234" t="s">
        <v>20</v>
      </c>
      <c r="T57" s="312" t="s">
        <v>310</v>
      </c>
      <c r="U57" s="312"/>
    </row>
    <row r="58" spans="1:21">
      <c r="A58" s="71"/>
      <c r="B58" s="71" t="s">
        <v>340</v>
      </c>
      <c r="C58" s="71"/>
      <c r="D58" s="234" t="s">
        <v>139</v>
      </c>
      <c r="E58" s="310">
        <f>P57</f>
        <v>3</v>
      </c>
      <c r="F58" s="310"/>
      <c r="G58" s="78" t="s">
        <v>80</v>
      </c>
      <c r="H58" s="310">
        <f>P55</f>
        <v>2233.64</v>
      </c>
      <c r="I58" s="310"/>
      <c r="J58" s="234" t="s">
        <v>19</v>
      </c>
      <c r="K58" s="85"/>
      <c r="L58" s="71"/>
      <c r="M58" s="71"/>
      <c r="N58" s="71"/>
      <c r="O58" s="234" t="s">
        <v>81</v>
      </c>
      <c r="P58" s="106">
        <f>ROUND(E58*H58,2)</f>
        <v>6700.92</v>
      </c>
      <c r="Q58" s="234" t="s">
        <v>19</v>
      </c>
      <c r="T58" s="238">
        <f>ROUNDDOWN(E52/0.3,0)</f>
        <v>6</v>
      </c>
      <c r="U58" s="238">
        <f>ROUNDDOWN(H52/0.4,0)</f>
        <v>25</v>
      </c>
    </row>
    <row r="59" spans="1:21">
      <c r="A59" s="71"/>
      <c r="B59" s="71" t="s">
        <v>84</v>
      </c>
      <c r="C59" s="71"/>
      <c r="D59" s="234" t="s">
        <v>139</v>
      </c>
      <c r="E59" s="269">
        <v>0</v>
      </c>
      <c r="F59" s="86" t="s">
        <v>180</v>
      </c>
      <c r="G59" s="317">
        <v>0</v>
      </c>
      <c r="H59" s="317"/>
      <c r="I59" s="78" t="s">
        <v>249</v>
      </c>
      <c r="J59" s="313">
        <f>P57</f>
        <v>3</v>
      </c>
      <c r="K59" s="313"/>
      <c r="L59" s="234" t="s">
        <v>20</v>
      </c>
      <c r="M59" s="83"/>
      <c r="N59" s="83"/>
      <c r="O59" s="234" t="s">
        <v>81</v>
      </c>
      <c r="P59" s="106">
        <f>ROUND(E59*G59*J59,2)</f>
        <v>0</v>
      </c>
      <c r="Q59" s="234" t="s">
        <v>19</v>
      </c>
      <c r="T59" s="238">
        <f>ROUND(((T58+1)*H52*0.499),2)</f>
        <v>34.93</v>
      </c>
      <c r="U59" s="238">
        <f>ROUND(((U58+1)*E52*0.222),2)</f>
        <v>11.54</v>
      </c>
    </row>
    <row r="60" spans="1:21">
      <c r="A60" s="71"/>
      <c r="B60" s="71" t="s">
        <v>276</v>
      </c>
      <c r="C60" s="71" t="s">
        <v>342</v>
      </c>
      <c r="D60" s="234" t="s">
        <v>139</v>
      </c>
      <c r="E60" s="310">
        <f>U59</f>
        <v>11.54</v>
      </c>
      <c r="F60" s="313"/>
      <c r="G60" s="218" t="s">
        <v>277</v>
      </c>
      <c r="H60" s="314">
        <f>ค่าวัสดุและดำเนินการ!K13</f>
        <v>22789.72</v>
      </c>
      <c r="I60" s="314"/>
      <c r="J60" s="78" t="s">
        <v>111</v>
      </c>
      <c r="K60" s="71"/>
      <c r="L60" s="78" t="s">
        <v>278</v>
      </c>
      <c r="M60" s="71"/>
      <c r="N60" s="71"/>
      <c r="O60" s="234" t="s">
        <v>81</v>
      </c>
      <c r="P60" s="106">
        <f>ROUND((H60/1000)*E60,2)</f>
        <v>262.99</v>
      </c>
      <c r="Q60" s="234" t="s">
        <v>19</v>
      </c>
      <c r="T60" s="82" t="s">
        <v>343</v>
      </c>
      <c r="U60" s="107" t="s">
        <v>342</v>
      </c>
    </row>
    <row r="61" spans="1:21">
      <c r="A61" s="71"/>
      <c r="B61" s="71"/>
      <c r="C61" s="71" t="s">
        <v>343</v>
      </c>
      <c r="D61" s="273"/>
      <c r="E61" s="310">
        <f>T59</f>
        <v>34.93</v>
      </c>
      <c r="F61" s="313"/>
      <c r="G61" s="218" t="s">
        <v>277</v>
      </c>
      <c r="H61" s="314">
        <f>ค่าวัสดุและดำเนินการ!K14</f>
        <v>21705.61</v>
      </c>
      <c r="I61" s="314"/>
      <c r="J61" s="78" t="s">
        <v>111</v>
      </c>
      <c r="K61" s="71"/>
      <c r="L61" s="78" t="s">
        <v>278</v>
      </c>
      <c r="M61" s="71"/>
      <c r="N61" s="71"/>
      <c r="O61" s="273" t="s">
        <v>81</v>
      </c>
      <c r="P61" s="106">
        <f>ROUND((H61/1000)*E61,2)</f>
        <v>758.18</v>
      </c>
      <c r="Q61" s="273" t="s">
        <v>19</v>
      </c>
      <c r="T61" s="238"/>
      <c r="U61" s="239"/>
    </row>
    <row r="62" spans="1:21">
      <c r="A62" s="71"/>
      <c r="B62" s="71" t="s">
        <v>227</v>
      </c>
      <c r="C62" s="71"/>
      <c r="D62" s="234" t="s">
        <v>139</v>
      </c>
      <c r="E62" s="310">
        <f>ROUND((E60+E61)*(25/1000),2)</f>
        <v>1.1599999999999999</v>
      </c>
      <c r="F62" s="313" t="e">
        <f t="shared" ref="F62" si="0">ROUND(#REF!*#REF!,2)</f>
        <v>#REF!</v>
      </c>
      <c r="G62" s="218" t="s">
        <v>277</v>
      </c>
      <c r="H62" s="314">
        <f>ค่าวัสดุและดำเนินการ!K18</f>
        <v>65.42</v>
      </c>
      <c r="I62" s="314"/>
      <c r="J62" s="78" t="s">
        <v>282</v>
      </c>
      <c r="K62" s="71"/>
      <c r="L62" s="78"/>
      <c r="M62" s="71"/>
      <c r="N62" s="71"/>
      <c r="O62" s="234" t="s">
        <v>81</v>
      </c>
      <c r="P62" s="106">
        <f>ROUND(H62*E62,2)</f>
        <v>75.89</v>
      </c>
      <c r="Q62" s="234" t="s">
        <v>19</v>
      </c>
    </row>
    <row r="63" spans="1:21">
      <c r="A63" s="71"/>
      <c r="B63" s="71" t="s">
        <v>136</v>
      </c>
      <c r="C63" s="71"/>
      <c r="D63" s="234" t="s">
        <v>139</v>
      </c>
      <c r="E63" s="309">
        <v>20.6</v>
      </c>
      <c r="F63" s="309"/>
      <c r="G63" s="234" t="s">
        <v>143</v>
      </c>
      <c r="H63" s="319">
        <v>10</v>
      </c>
      <c r="I63" s="319"/>
      <c r="J63" s="234" t="s">
        <v>34</v>
      </c>
      <c r="K63" s="71"/>
      <c r="L63" s="71"/>
      <c r="M63" s="234"/>
      <c r="N63" s="81"/>
      <c r="O63" s="234" t="s">
        <v>81</v>
      </c>
      <c r="P63" s="106">
        <f t="shared" ref="P63:P66" si="1">ROUND(E63*H63,2)</f>
        <v>206</v>
      </c>
      <c r="Q63" s="234" t="s">
        <v>19</v>
      </c>
      <c r="R63" s="159"/>
    </row>
    <row r="64" spans="1:21">
      <c r="A64" s="71"/>
      <c r="B64" s="71" t="s">
        <v>279</v>
      </c>
      <c r="C64" s="71"/>
      <c r="D64" s="234" t="s">
        <v>139</v>
      </c>
      <c r="E64" s="309">
        <v>11.93</v>
      </c>
      <c r="F64" s="309"/>
      <c r="G64" s="234" t="s">
        <v>143</v>
      </c>
      <c r="H64" s="314">
        <f>P56</f>
        <v>20</v>
      </c>
      <c r="I64" s="314"/>
      <c r="J64" s="78" t="s">
        <v>22</v>
      </c>
      <c r="K64" s="71"/>
      <c r="L64" s="71"/>
      <c r="M64" s="71"/>
      <c r="N64" s="71"/>
      <c r="O64" s="234" t="s">
        <v>81</v>
      </c>
      <c r="P64" s="106">
        <f t="shared" si="1"/>
        <v>238.6</v>
      </c>
      <c r="Q64" s="234" t="s">
        <v>19</v>
      </c>
      <c r="T64" s="312"/>
      <c r="U64" s="312"/>
    </row>
    <row r="65" spans="1:21">
      <c r="A65" s="71"/>
      <c r="B65" s="71" t="s">
        <v>137</v>
      </c>
      <c r="C65" s="71"/>
      <c r="D65" s="234" t="s">
        <v>139</v>
      </c>
      <c r="E65" s="309">
        <v>8.73</v>
      </c>
      <c r="F65" s="309"/>
      <c r="G65" s="234" t="s">
        <v>143</v>
      </c>
      <c r="H65" s="314">
        <f>P56</f>
        <v>20</v>
      </c>
      <c r="I65" s="314"/>
      <c r="J65" s="78" t="s">
        <v>22</v>
      </c>
      <c r="K65" s="89"/>
      <c r="L65" s="89"/>
      <c r="M65" s="89"/>
      <c r="N65" s="88"/>
      <c r="O65" s="234" t="s">
        <v>81</v>
      </c>
      <c r="P65" s="106">
        <f t="shared" si="1"/>
        <v>174.6</v>
      </c>
      <c r="Q65" s="234" t="s">
        <v>19</v>
      </c>
      <c r="T65" s="238"/>
      <c r="U65" s="238"/>
    </row>
    <row r="66" spans="1:21">
      <c r="A66" s="71"/>
      <c r="B66" s="71" t="s">
        <v>144</v>
      </c>
      <c r="C66" s="71"/>
      <c r="D66" s="234" t="s">
        <v>139</v>
      </c>
      <c r="E66" s="317">
        <v>0</v>
      </c>
      <c r="F66" s="317"/>
      <c r="G66" s="234" t="s">
        <v>143</v>
      </c>
      <c r="H66" s="314">
        <f>P56</f>
        <v>20</v>
      </c>
      <c r="I66" s="314"/>
      <c r="J66" s="78" t="s">
        <v>22</v>
      </c>
      <c r="K66" s="89"/>
      <c r="L66" s="89"/>
      <c r="M66" s="89"/>
      <c r="N66" s="88"/>
      <c r="O66" s="234" t="s">
        <v>81</v>
      </c>
      <c r="P66" s="106">
        <f t="shared" si="1"/>
        <v>0</v>
      </c>
      <c r="Q66" s="234" t="s">
        <v>19</v>
      </c>
      <c r="T66" s="238"/>
      <c r="U66" s="238"/>
    </row>
    <row r="67" spans="1:21">
      <c r="A67" s="71"/>
      <c r="B67" s="71" t="s">
        <v>86</v>
      </c>
      <c r="C67" s="71"/>
      <c r="D67" s="71"/>
      <c r="E67" s="91"/>
      <c r="F67" s="71"/>
      <c r="G67" s="71"/>
      <c r="H67" s="71"/>
      <c r="I67" s="71"/>
      <c r="J67" s="71"/>
      <c r="K67" s="71"/>
      <c r="L67" s="71"/>
      <c r="M67" s="71"/>
      <c r="N67" s="71"/>
      <c r="O67" s="234" t="s">
        <v>81</v>
      </c>
      <c r="P67" s="250">
        <f>ROUND((SUM(P58:P66)),2)</f>
        <v>8417.18</v>
      </c>
      <c r="Q67" s="234" t="s">
        <v>19</v>
      </c>
      <c r="T67" s="238"/>
      <c r="U67" s="239"/>
    </row>
    <row r="68" spans="1:21">
      <c r="A68" s="71"/>
      <c r="B68" s="82" t="s">
        <v>87</v>
      </c>
      <c r="C68" s="71"/>
      <c r="D68" s="234" t="s">
        <v>139</v>
      </c>
      <c r="E68" s="313">
        <f>P67</f>
        <v>8417.18</v>
      </c>
      <c r="F68" s="313"/>
      <c r="G68" s="234" t="s">
        <v>95</v>
      </c>
      <c r="H68" s="314">
        <f>P56</f>
        <v>20</v>
      </c>
      <c r="I68" s="314"/>
      <c r="J68" s="84"/>
      <c r="K68" s="71"/>
      <c r="L68" s="71"/>
      <c r="M68" s="71"/>
      <c r="N68" s="71"/>
      <c r="O68" s="234" t="s">
        <v>81</v>
      </c>
      <c r="P68" s="154">
        <f>ROUND(E68/H68,2)</f>
        <v>420.86</v>
      </c>
      <c r="Q68" s="234" t="s">
        <v>130</v>
      </c>
    </row>
    <row r="69" spans="1:21" ht="21.75" thickBot="1">
      <c r="N69" s="107" t="s">
        <v>181</v>
      </c>
      <c r="O69" s="234" t="s">
        <v>81</v>
      </c>
      <c r="P69" s="251">
        <f>ROUNDDOWN(P68,0)</f>
        <v>420</v>
      </c>
      <c r="Q69" s="234" t="s">
        <v>130</v>
      </c>
    </row>
    <row r="70" spans="1:21" ht="21.75" thickTop="1">
      <c r="B70" s="61" t="s">
        <v>113</v>
      </c>
      <c r="T70" s="312" t="s">
        <v>331</v>
      </c>
      <c r="U70" s="312"/>
    </row>
    <row r="71" spans="1:21">
      <c r="B71" s="15" t="s">
        <v>330</v>
      </c>
      <c r="D71" s="267">
        <v>2</v>
      </c>
      <c r="E71" s="1" t="s">
        <v>34</v>
      </c>
      <c r="I71" s="266"/>
      <c r="J71" s="266"/>
      <c r="T71" s="238">
        <f>ROUNDDOWN(D71/0.3,0)</f>
        <v>6</v>
      </c>
    </row>
    <row r="72" spans="1:21">
      <c r="B72" s="15" t="s">
        <v>283</v>
      </c>
      <c r="E72" s="311">
        <f>T72</f>
        <v>7.81</v>
      </c>
      <c r="F72" s="311"/>
      <c r="G72" s="232" t="s">
        <v>114</v>
      </c>
      <c r="H72" s="232" t="s">
        <v>115</v>
      </c>
      <c r="I72" s="311">
        <f>ROUND(ค่าวัสดุและดำเนินการ!K16/1000,2)</f>
        <v>24.1</v>
      </c>
      <c r="J72" s="311"/>
      <c r="O72" s="232" t="s">
        <v>81</v>
      </c>
      <c r="P72" s="106">
        <f>ROUND(E72*I72,2)</f>
        <v>188.22</v>
      </c>
      <c r="Q72" s="15" t="s">
        <v>19</v>
      </c>
      <c r="T72" s="238">
        <f>ROUND(((T71+1)*0.5*2.23),2)</f>
        <v>7.81</v>
      </c>
      <c r="U72" s="239" t="s">
        <v>311</v>
      </c>
    </row>
    <row r="73" spans="1:21">
      <c r="B73" s="15" t="s">
        <v>116</v>
      </c>
      <c r="E73" s="311">
        <f>T71+1</f>
        <v>7</v>
      </c>
      <c r="F73" s="311"/>
      <c r="G73" s="232" t="s">
        <v>117</v>
      </c>
      <c r="H73" s="232" t="s">
        <v>115</v>
      </c>
      <c r="I73" s="311">
        <f>ค่าวัสดุและดำเนินการ!K31</f>
        <v>3.79</v>
      </c>
      <c r="J73" s="311"/>
      <c r="O73" s="232" t="s">
        <v>81</v>
      </c>
      <c r="P73" s="106">
        <f>ROUND(I73*E73,2)</f>
        <v>26.53</v>
      </c>
      <c r="Q73" s="15" t="s">
        <v>19</v>
      </c>
    </row>
    <row r="74" spans="1:21">
      <c r="B74" s="15" t="s">
        <v>284</v>
      </c>
      <c r="E74" s="320">
        <f>ROUND(D71*0.15,2)</f>
        <v>0.3</v>
      </c>
      <c r="F74" s="320"/>
      <c r="G74" s="232" t="s">
        <v>22</v>
      </c>
      <c r="H74" s="232" t="s">
        <v>115</v>
      </c>
      <c r="I74" s="311">
        <f>ค่าวัสดุและดำเนินการ!K32</f>
        <v>25</v>
      </c>
      <c r="J74" s="311"/>
      <c r="O74" s="232" t="s">
        <v>81</v>
      </c>
      <c r="P74" s="106">
        <f t="shared" ref="P74:P76" si="2">ROUND(I74*E74,2)</f>
        <v>7.5</v>
      </c>
      <c r="Q74" s="15" t="s">
        <v>19</v>
      </c>
    </row>
    <row r="75" spans="1:21">
      <c r="B75" s="15" t="s">
        <v>118</v>
      </c>
      <c r="E75" s="311">
        <f>ROUND(0.025*0.025*D71*1000,2)</f>
        <v>1.25</v>
      </c>
      <c r="F75" s="311"/>
      <c r="G75" s="232" t="s">
        <v>119</v>
      </c>
      <c r="H75" s="232" t="s">
        <v>115</v>
      </c>
      <c r="I75" s="311">
        <f>ค่าวัสดุและดำเนินการ!K33</f>
        <v>27</v>
      </c>
      <c r="J75" s="311"/>
      <c r="O75" s="232" t="s">
        <v>81</v>
      </c>
      <c r="P75" s="106">
        <f t="shared" si="2"/>
        <v>33.75</v>
      </c>
      <c r="Q75" s="15" t="s">
        <v>19</v>
      </c>
    </row>
    <row r="76" spans="1:21">
      <c r="B76" s="15" t="s">
        <v>120</v>
      </c>
      <c r="E76" s="311">
        <f>D71</f>
        <v>2</v>
      </c>
      <c r="F76" s="311"/>
      <c r="G76" s="232" t="s">
        <v>121</v>
      </c>
      <c r="H76" s="232" t="s">
        <v>115</v>
      </c>
      <c r="I76" s="323">
        <v>13.65</v>
      </c>
      <c r="J76" s="323"/>
      <c r="O76" s="232" t="s">
        <v>81</v>
      </c>
      <c r="P76" s="106">
        <f t="shared" si="2"/>
        <v>27.3</v>
      </c>
      <c r="Q76" s="15" t="s">
        <v>19</v>
      </c>
    </row>
    <row r="77" spans="1:21">
      <c r="B77" s="15" t="s">
        <v>122</v>
      </c>
      <c r="E77" s="311">
        <f>D71</f>
        <v>2</v>
      </c>
      <c r="F77" s="311"/>
      <c r="G77" s="232" t="s">
        <v>121</v>
      </c>
      <c r="H77" s="232" t="s">
        <v>115</v>
      </c>
      <c r="I77" s="311">
        <f>ค่าวัสดุและดำเนินการ!K34</f>
        <v>10</v>
      </c>
      <c r="J77" s="311"/>
      <c r="O77" s="232" t="s">
        <v>81</v>
      </c>
      <c r="P77" s="106">
        <f>ROUND(I77*E77,2)</f>
        <v>20</v>
      </c>
      <c r="Q77" s="15" t="s">
        <v>19</v>
      </c>
    </row>
    <row r="78" spans="1:21">
      <c r="B78" s="15" t="s">
        <v>123</v>
      </c>
      <c r="E78" s="320">
        <f>ROUND(D71*0.15,2)</f>
        <v>0.3</v>
      </c>
      <c r="F78" s="320"/>
      <c r="G78" s="232" t="s">
        <v>22</v>
      </c>
      <c r="H78" s="232" t="s">
        <v>115</v>
      </c>
      <c r="I78" s="321">
        <f>แบบหล่อคอนกรีต!G24</f>
        <v>298</v>
      </c>
      <c r="J78" s="321"/>
      <c r="O78" s="232" t="s">
        <v>81</v>
      </c>
      <c r="P78" s="106">
        <f>ROUND(I78*E78,2)</f>
        <v>89.4</v>
      </c>
      <c r="Q78" s="15" t="s">
        <v>19</v>
      </c>
    </row>
    <row r="79" spans="1:21">
      <c r="B79" s="15" t="s">
        <v>86</v>
      </c>
      <c r="O79" s="232" t="s">
        <v>81</v>
      </c>
      <c r="P79" s="268">
        <f>ROUND(SUM(P72:P78),2)</f>
        <v>392.7</v>
      </c>
      <c r="Q79" s="15" t="s">
        <v>19</v>
      </c>
    </row>
    <row r="80" spans="1:21">
      <c r="B80" s="64" t="s">
        <v>87</v>
      </c>
      <c r="E80" s="322">
        <f>P79</f>
        <v>392.7</v>
      </c>
      <c r="F80" s="322"/>
      <c r="G80" s="15" t="s">
        <v>285</v>
      </c>
      <c r="H80" s="276">
        <f>D71</f>
        <v>2</v>
      </c>
      <c r="I80" s="276"/>
      <c r="O80" s="232" t="s">
        <v>81</v>
      </c>
      <c r="P80" s="154">
        <f>ROUND(E80/H80,2)</f>
        <v>196.35</v>
      </c>
      <c r="Q80" s="15" t="s">
        <v>112</v>
      </c>
    </row>
    <row r="81" spans="2:21" ht="21.75" thickBot="1">
      <c r="B81" s="64"/>
      <c r="E81" s="237"/>
      <c r="F81" s="237"/>
      <c r="G81" s="15"/>
      <c r="H81" s="235"/>
      <c r="I81" s="235"/>
      <c r="N81" s="107" t="s">
        <v>181</v>
      </c>
      <c r="O81" s="236" t="s">
        <v>81</v>
      </c>
      <c r="P81" s="251">
        <f>ROUNDDOWN(E80/H80,0)</f>
        <v>196</v>
      </c>
      <c r="Q81" s="15" t="s">
        <v>112</v>
      </c>
    </row>
    <row r="82" spans="2:21" ht="21.75" thickTop="1">
      <c r="B82" s="61" t="s">
        <v>124</v>
      </c>
      <c r="O82" s="15"/>
      <c r="P82" s="67"/>
      <c r="Q82" s="15"/>
      <c r="T82" s="312" t="s">
        <v>331</v>
      </c>
      <c r="U82" s="312"/>
    </row>
    <row r="83" spans="2:21">
      <c r="B83" s="15" t="s">
        <v>332</v>
      </c>
      <c r="D83" s="267">
        <v>2</v>
      </c>
      <c r="E83" s="1" t="s">
        <v>34</v>
      </c>
      <c r="O83" s="15"/>
      <c r="P83" s="67"/>
      <c r="Q83" s="15"/>
      <c r="T83" s="238">
        <f>ROUNDDOWN(D83/0.3,0)</f>
        <v>6</v>
      </c>
    </row>
    <row r="84" spans="2:21">
      <c r="B84" s="15" t="s">
        <v>283</v>
      </c>
      <c r="E84" s="311">
        <f>T84</f>
        <v>7.81</v>
      </c>
      <c r="F84" s="311"/>
      <c r="G84" s="270" t="s">
        <v>114</v>
      </c>
      <c r="H84" s="270" t="s">
        <v>115</v>
      </c>
      <c r="I84" s="311">
        <f>ROUND(ค่าวัสดุและดำเนินการ!K16/1000,2)</f>
        <v>24.1</v>
      </c>
      <c r="J84" s="311"/>
      <c r="O84" s="270" t="s">
        <v>81</v>
      </c>
      <c r="P84" s="106">
        <f>ROUND(E84*I84,2)</f>
        <v>188.22</v>
      </c>
      <c r="Q84" s="15" t="s">
        <v>19</v>
      </c>
      <c r="T84" s="238">
        <f>ROUND(((T83+1)*0.5*2.23),2)</f>
        <v>7.81</v>
      </c>
      <c r="U84" s="239" t="s">
        <v>311</v>
      </c>
    </row>
    <row r="85" spans="2:21">
      <c r="B85" s="15" t="s">
        <v>125</v>
      </c>
      <c r="E85" s="311">
        <f>D83</f>
        <v>2</v>
      </c>
      <c r="F85" s="311"/>
      <c r="G85" s="270" t="s">
        <v>34</v>
      </c>
      <c r="H85" s="270" t="s">
        <v>115</v>
      </c>
      <c r="I85" s="323">
        <v>13.65</v>
      </c>
      <c r="J85" s="323"/>
      <c r="O85" s="232" t="s">
        <v>81</v>
      </c>
      <c r="P85" s="106">
        <f t="shared" ref="P85:P87" si="3">ROUND(E85*I85,2)</f>
        <v>27.3</v>
      </c>
      <c r="Q85" s="15" t="s">
        <v>19</v>
      </c>
    </row>
    <row r="86" spans="2:21">
      <c r="B86" s="15" t="s">
        <v>126</v>
      </c>
      <c r="D86" s="1" t="s">
        <v>333</v>
      </c>
      <c r="E86" s="311">
        <f>T83+1</f>
        <v>7</v>
      </c>
      <c r="F86" s="311"/>
      <c r="G86" s="270" t="s">
        <v>117</v>
      </c>
      <c r="H86" s="270" t="s">
        <v>115</v>
      </c>
      <c r="I86" s="323"/>
      <c r="J86" s="323"/>
      <c r="O86" s="232" t="s">
        <v>81</v>
      </c>
      <c r="P86" s="106">
        <f t="shared" si="3"/>
        <v>0</v>
      </c>
      <c r="Q86" s="15" t="s">
        <v>19</v>
      </c>
    </row>
    <row r="87" spans="2:21">
      <c r="B87" s="15" t="s">
        <v>127</v>
      </c>
      <c r="E87" s="311">
        <f>ROUND(0.01*0.0375*D83*1000,2)</f>
        <v>0.75</v>
      </c>
      <c r="F87" s="311"/>
      <c r="G87" s="270" t="s">
        <v>119</v>
      </c>
      <c r="H87" s="270" t="s">
        <v>115</v>
      </c>
      <c r="I87" s="311">
        <f>ค่าวัสดุและดำเนินการ!K33</f>
        <v>27</v>
      </c>
      <c r="J87" s="311"/>
      <c r="O87" s="232" t="s">
        <v>81</v>
      </c>
      <c r="P87" s="106">
        <f t="shared" si="3"/>
        <v>20.25</v>
      </c>
      <c r="Q87" s="15" t="s">
        <v>19</v>
      </c>
    </row>
    <row r="88" spans="2:21">
      <c r="B88" s="15" t="s">
        <v>122</v>
      </c>
      <c r="E88" s="311">
        <f>D83</f>
        <v>2</v>
      </c>
      <c r="F88" s="311"/>
      <c r="G88" s="270" t="s">
        <v>121</v>
      </c>
      <c r="H88" s="270" t="s">
        <v>115</v>
      </c>
      <c r="I88" s="311">
        <f>ค่าวัสดุและดำเนินการ!K34</f>
        <v>10</v>
      </c>
      <c r="J88" s="311"/>
      <c r="O88" s="270" t="s">
        <v>81</v>
      </c>
      <c r="P88" s="106">
        <f>ROUND(I88*E88,2)</f>
        <v>20</v>
      </c>
      <c r="Q88" s="15" t="s">
        <v>19</v>
      </c>
    </row>
    <row r="89" spans="2:21">
      <c r="B89" s="15" t="s">
        <v>86</v>
      </c>
      <c r="O89" s="232" t="s">
        <v>81</v>
      </c>
      <c r="P89" s="70">
        <f>ROUND(SUM(P84:P88),2)</f>
        <v>255.77</v>
      </c>
      <c r="Q89" s="15" t="s">
        <v>335</v>
      </c>
    </row>
    <row r="90" spans="2:21">
      <c r="B90" s="64" t="s">
        <v>87</v>
      </c>
      <c r="E90" s="322">
        <f>P89</f>
        <v>255.77</v>
      </c>
      <c r="F90" s="322"/>
      <c r="G90" s="15" t="s">
        <v>285</v>
      </c>
      <c r="H90" s="276">
        <f>D83</f>
        <v>2</v>
      </c>
      <c r="I90" s="276"/>
      <c r="O90" s="270" t="s">
        <v>81</v>
      </c>
      <c r="P90" s="154">
        <f>ROUND(E90/H90,2)</f>
        <v>127.89</v>
      </c>
      <c r="Q90" s="15" t="s">
        <v>112</v>
      </c>
    </row>
    <row r="91" spans="2:21" ht="21.75" thickBot="1">
      <c r="B91" s="64"/>
      <c r="E91" s="271"/>
      <c r="F91" s="271"/>
      <c r="G91" s="15"/>
      <c r="H91" s="270"/>
      <c r="I91" s="270"/>
      <c r="N91" s="107" t="s">
        <v>181</v>
      </c>
      <c r="O91" s="272" t="s">
        <v>81</v>
      </c>
      <c r="P91" s="251">
        <f>ROUNDDOWN(E90/H90,0)</f>
        <v>127</v>
      </c>
      <c r="Q91" s="15" t="s">
        <v>112</v>
      </c>
    </row>
    <row r="92" spans="2:21" ht="21.75" thickTop="1">
      <c r="B92" s="61" t="s">
        <v>128</v>
      </c>
      <c r="O92" s="15"/>
      <c r="P92" s="67"/>
      <c r="Q92" s="15"/>
      <c r="T92" s="312" t="s">
        <v>331</v>
      </c>
      <c r="U92" s="312"/>
    </row>
    <row r="93" spans="2:21">
      <c r="B93" s="15" t="s">
        <v>332</v>
      </c>
      <c r="D93" s="267">
        <v>10</v>
      </c>
      <c r="E93" s="1" t="s">
        <v>34</v>
      </c>
      <c r="O93" s="15"/>
      <c r="P93" s="67"/>
      <c r="Q93" s="15"/>
      <c r="T93" s="238">
        <f>ROUNDDOWN(D93/0.5,0)</f>
        <v>20</v>
      </c>
    </row>
    <row r="94" spans="2:21">
      <c r="B94" s="15" t="s">
        <v>336</v>
      </c>
      <c r="E94" s="311">
        <f>T94</f>
        <v>9.32</v>
      </c>
      <c r="F94" s="311"/>
      <c r="G94" s="270" t="s">
        <v>114</v>
      </c>
      <c r="H94" s="270" t="s">
        <v>115</v>
      </c>
      <c r="I94" s="311">
        <f>ROUND(ค่าวัสดุและดำเนินการ!K17/1000,2)</f>
        <v>20.350000000000001</v>
      </c>
      <c r="J94" s="311"/>
      <c r="O94" s="270" t="s">
        <v>81</v>
      </c>
      <c r="P94" s="106">
        <f>ROUND(E94*I94,2)</f>
        <v>189.66</v>
      </c>
      <c r="Q94" s="15" t="s">
        <v>19</v>
      </c>
      <c r="T94" s="238">
        <f>ROUND(((T93+1)*0.5*0.888),2)</f>
        <v>9.32</v>
      </c>
      <c r="U94" s="239" t="s">
        <v>311</v>
      </c>
    </row>
    <row r="95" spans="2:21">
      <c r="B95" s="15" t="s">
        <v>125</v>
      </c>
      <c r="E95" s="311">
        <f>D93</f>
        <v>10</v>
      </c>
      <c r="F95" s="311"/>
      <c r="G95" s="270" t="s">
        <v>34</v>
      </c>
      <c r="H95" s="270" t="s">
        <v>115</v>
      </c>
      <c r="I95" s="323">
        <v>13.65</v>
      </c>
      <c r="J95" s="323"/>
      <c r="O95" s="270" t="s">
        <v>81</v>
      </c>
      <c r="P95" s="106">
        <f>ROUND(E95*I95,2)</f>
        <v>136.5</v>
      </c>
      <c r="Q95" s="15" t="s">
        <v>19</v>
      </c>
    </row>
    <row r="96" spans="2:21">
      <c r="B96" s="15" t="s">
        <v>127</v>
      </c>
      <c r="D96" s="1" t="s">
        <v>333</v>
      </c>
      <c r="E96" s="311">
        <f>ROUND(0.01*0.0375*D93*1000,2)</f>
        <v>3.75</v>
      </c>
      <c r="F96" s="311"/>
      <c r="G96" s="270" t="s">
        <v>119</v>
      </c>
      <c r="H96" s="270" t="s">
        <v>115</v>
      </c>
      <c r="I96" s="311">
        <f>ค่าวัสดุและดำเนินการ!K33</f>
        <v>27</v>
      </c>
      <c r="J96" s="311"/>
      <c r="O96" s="270" t="s">
        <v>81</v>
      </c>
      <c r="P96" s="106">
        <f>ROUND(E96*I96,2)</f>
        <v>101.25</v>
      </c>
      <c r="Q96" s="15" t="s">
        <v>19</v>
      </c>
    </row>
    <row r="97" spans="2:17">
      <c r="B97" s="15" t="s">
        <v>122</v>
      </c>
      <c r="E97" s="311">
        <f>D93</f>
        <v>10</v>
      </c>
      <c r="F97" s="311"/>
      <c r="G97" s="270" t="s">
        <v>22</v>
      </c>
      <c r="H97" s="270" t="s">
        <v>115</v>
      </c>
      <c r="I97" s="311">
        <f>ค่าวัสดุและดำเนินการ!K34</f>
        <v>10</v>
      </c>
      <c r="J97" s="311"/>
      <c r="O97" s="270" t="s">
        <v>81</v>
      </c>
      <c r="P97" s="106">
        <f t="shared" ref="P97" si="4">ROUND(E97*I97,2)</f>
        <v>100</v>
      </c>
      <c r="Q97" s="15" t="s">
        <v>19</v>
      </c>
    </row>
    <row r="98" spans="2:17">
      <c r="B98" s="15" t="s">
        <v>86</v>
      </c>
      <c r="O98" s="270" t="s">
        <v>81</v>
      </c>
      <c r="P98" s="70">
        <f>ROUND(SUM(P94:P97),2)</f>
        <v>527.41</v>
      </c>
      <c r="Q98" s="15" t="s">
        <v>19</v>
      </c>
    </row>
    <row r="99" spans="2:17">
      <c r="B99" s="64" t="s">
        <v>87</v>
      </c>
      <c r="E99" s="322">
        <f>P98</f>
        <v>527.41</v>
      </c>
      <c r="F99" s="322"/>
      <c r="G99" s="15" t="s">
        <v>285</v>
      </c>
      <c r="H99" s="276">
        <f>D93</f>
        <v>10</v>
      </c>
      <c r="I99" s="276"/>
      <c r="O99" s="270" t="s">
        <v>81</v>
      </c>
      <c r="P99" s="154">
        <f>ROUND(E99/H99,2)</f>
        <v>52.74</v>
      </c>
      <c r="Q99" s="15" t="s">
        <v>112</v>
      </c>
    </row>
    <row r="100" spans="2:17" ht="21.75" thickBot="1">
      <c r="E100" s="271"/>
      <c r="F100" s="271"/>
      <c r="G100" s="15"/>
      <c r="H100" s="270"/>
      <c r="I100" s="270"/>
      <c r="N100" s="107" t="s">
        <v>181</v>
      </c>
      <c r="O100" s="272" t="s">
        <v>81</v>
      </c>
      <c r="P100" s="251">
        <f>ROUNDDOWN(E99/H99,0)</f>
        <v>52</v>
      </c>
      <c r="Q100" s="15" t="s">
        <v>112</v>
      </c>
    </row>
    <row r="101" spans="2:17" ht="21.75" thickTop="1"/>
  </sheetData>
  <mergeCells count="75">
    <mergeCell ref="T92:U92"/>
    <mergeCell ref="E99:F99"/>
    <mergeCell ref="H99:I99"/>
    <mergeCell ref="E96:F96"/>
    <mergeCell ref="I96:J96"/>
    <mergeCell ref="E97:F97"/>
    <mergeCell ref="I97:J97"/>
    <mergeCell ref="E90:F90"/>
    <mergeCell ref="H90:I90"/>
    <mergeCell ref="E94:F94"/>
    <mergeCell ref="I94:J94"/>
    <mergeCell ref="E95:F95"/>
    <mergeCell ref="I95:J95"/>
    <mergeCell ref="E87:F87"/>
    <mergeCell ref="I87:J87"/>
    <mergeCell ref="E85:F85"/>
    <mergeCell ref="I85:J85"/>
    <mergeCell ref="E88:F88"/>
    <mergeCell ref="I88:J88"/>
    <mergeCell ref="E84:F84"/>
    <mergeCell ref="I84:J84"/>
    <mergeCell ref="T82:U82"/>
    <mergeCell ref="E86:F86"/>
    <mergeCell ref="I86:J86"/>
    <mergeCell ref="E78:F78"/>
    <mergeCell ref="I78:J78"/>
    <mergeCell ref="E80:F80"/>
    <mergeCell ref="H80:I80"/>
    <mergeCell ref="T70:U70"/>
    <mergeCell ref="I76:J76"/>
    <mergeCell ref="I77:J77"/>
    <mergeCell ref="E72:F72"/>
    <mergeCell ref="E73:F73"/>
    <mergeCell ref="E74:F74"/>
    <mergeCell ref="E75:F75"/>
    <mergeCell ref="E76:F76"/>
    <mergeCell ref="E77:F77"/>
    <mergeCell ref="I72:J72"/>
    <mergeCell ref="I73:J73"/>
    <mergeCell ref="I74:J74"/>
    <mergeCell ref="D7:E7"/>
    <mergeCell ref="T57:U57"/>
    <mergeCell ref="E62:F62"/>
    <mergeCell ref="H62:I62"/>
    <mergeCell ref="E66:F66"/>
    <mergeCell ref="H66:I66"/>
    <mergeCell ref="E63:F63"/>
    <mergeCell ref="H63:I63"/>
    <mergeCell ref="E64:F64"/>
    <mergeCell ref="H64:I64"/>
    <mergeCell ref="E65:F65"/>
    <mergeCell ref="H65:I65"/>
    <mergeCell ref="J59:K59"/>
    <mergeCell ref="E60:F60"/>
    <mergeCell ref="H60:I60"/>
    <mergeCell ref="E52:F52"/>
    <mergeCell ref="I75:J75"/>
    <mergeCell ref="T64:U64"/>
    <mergeCell ref="E68:F68"/>
    <mergeCell ref="H68:I68"/>
    <mergeCell ref="K53:L53"/>
    <mergeCell ref="E55:F55"/>
    <mergeCell ref="H55:I55"/>
    <mergeCell ref="E57:F57"/>
    <mergeCell ref="H57:I57"/>
    <mergeCell ref="E54:F54"/>
    <mergeCell ref="H54:I54"/>
    <mergeCell ref="E61:F61"/>
    <mergeCell ref="H61:I61"/>
    <mergeCell ref="G59:H59"/>
    <mergeCell ref="H52:I52"/>
    <mergeCell ref="E53:F53"/>
    <mergeCell ref="H53:I53"/>
    <mergeCell ref="E58:F58"/>
    <mergeCell ref="H58:I58"/>
  </mergeCells>
  <printOptions horizontalCentered="1"/>
  <pageMargins left="0.59055118110236227" right="0" top="0.59055118110236227" bottom="0" header="0.31496062992125984" footer="0.31496062992125984"/>
  <pageSetup paperSize="9" scale="74" orientation="portrait" r:id="rId1"/>
  <rowBreaks count="1" manualBreakCount="1">
    <brk id="100" max="16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view="pageBreakPreview" zoomScaleNormal="100" zoomScaleSheetLayoutView="100" workbookViewId="0">
      <selection activeCell="M11" sqref="M11"/>
    </sheetView>
  </sheetViews>
  <sheetFormatPr defaultRowHeight="21"/>
  <cols>
    <col min="1" max="1" width="6.875" style="1" customWidth="1"/>
    <col min="2" max="2" width="20" style="1" customWidth="1"/>
    <col min="3" max="3" width="4.75" style="1" customWidth="1"/>
    <col min="4" max="4" width="4.125" style="1" customWidth="1"/>
    <col min="5" max="5" width="9.5" style="1" customWidth="1"/>
    <col min="6" max="10" width="11.625" style="1" customWidth="1"/>
    <col min="11" max="16384" width="9" style="1"/>
  </cols>
  <sheetData>
    <row r="1" spans="1:11">
      <c r="A1" s="18" t="s">
        <v>255</v>
      </c>
      <c r="B1" s="71"/>
      <c r="C1" s="71"/>
      <c r="D1" s="71"/>
      <c r="E1" s="71"/>
      <c r="F1" s="71"/>
      <c r="G1" s="71"/>
      <c r="H1" s="71"/>
      <c r="I1" s="71"/>
      <c r="J1" s="71"/>
    </row>
    <row r="2" spans="1:11">
      <c r="A2" s="18" t="s">
        <v>145</v>
      </c>
      <c r="B2" s="71"/>
      <c r="C2" s="71"/>
      <c r="D2" s="71"/>
      <c r="E2" s="71"/>
      <c r="F2" s="71"/>
      <c r="G2" s="71"/>
      <c r="H2" s="71"/>
      <c r="I2" s="71"/>
      <c r="J2" s="71"/>
    </row>
    <row r="3" spans="1:11" ht="14.25" customHeight="1">
      <c r="A3" s="328" t="s">
        <v>146</v>
      </c>
      <c r="B3" s="329"/>
      <c r="C3" s="329"/>
      <c r="D3" s="329"/>
      <c r="E3" s="329"/>
      <c r="F3" s="328" t="s">
        <v>147</v>
      </c>
      <c r="G3" s="324" t="s">
        <v>148</v>
      </c>
      <c r="H3" s="324" t="s">
        <v>149</v>
      </c>
      <c r="I3" s="324" t="s">
        <v>150</v>
      </c>
      <c r="J3" s="324" t="s">
        <v>151</v>
      </c>
    </row>
    <row r="4" spans="1:11" ht="14.25" customHeight="1">
      <c r="A4" s="330"/>
      <c r="B4" s="331"/>
      <c r="C4" s="331"/>
      <c r="D4" s="331"/>
      <c r="E4" s="331"/>
      <c r="F4" s="330"/>
      <c r="G4" s="325"/>
      <c r="H4" s="325"/>
      <c r="I4" s="325"/>
      <c r="J4" s="325"/>
    </row>
    <row r="5" spans="1:11">
      <c r="A5" s="326" t="s">
        <v>152</v>
      </c>
      <c r="B5" s="327"/>
      <c r="C5" s="327"/>
      <c r="D5" s="327"/>
      <c r="E5" s="327"/>
      <c r="F5" s="92" t="s">
        <v>153</v>
      </c>
      <c r="G5" s="92" t="s">
        <v>154</v>
      </c>
      <c r="H5" s="93" t="s">
        <v>155</v>
      </c>
      <c r="I5" s="93" t="s">
        <v>156</v>
      </c>
      <c r="J5" s="93" t="s">
        <v>157</v>
      </c>
    </row>
    <row r="6" spans="1:11">
      <c r="A6" s="94" t="s">
        <v>158</v>
      </c>
      <c r="B6" s="85"/>
      <c r="C6" s="78">
        <v>1.05</v>
      </c>
      <c r="D6" s="78" t="s">
        <v>133</v>
      </c>
      <c r="E6" s="95">
        <f>ค่าวัสดุและดำเนินการ!K19</f>
        <v>2616.8000000000002</v>
      </c>
      <c r="F6" s="96">
        <f>ROUND($E$6*$C$6*0.4,2)</f>
        <v>1099.06</v>
      </c>
      <c r="G6" s="97">
        <f>ROUND($E$6*$C$6*0.35,2)</f>
        <v>961.67</v>
      </c>
      <c r="H6" s="97">
        <f>ROUND($E$6*$C$6*0.32,2)</f>
        <v>879.24</v>
      </c>
      <c r="I6" s="97">
        <f>ROUND($E$6*$C$6*0.29,2)</f>
        <v>796.82</v>
      </c>
      <c r="J6" s="97">
        <f>ROUND($E$6*$C$6*0.24,2)</f>
        <v>659.43</v>
      </c>
    </row>
    <row r="7" spans="1:11">
      <c r="A7" s="94" t="s">
        <v>159</v>
      </c>
      <c r="B7" s="85"/>
      <c r="C7" s="87">
        <v>1.2</v>
      </c>
      <c r="D7" s="78" t="s">
        <v>133</v>
      </c>
      <c r="E7" s="98">
        <f>ค่าวัสดุและดำเนินการ!K20</f>
        <v>533.03</v>
      </c>
      <c r="F7" s="96">
        <f>ROUND($E$7*$C$7*0.524,2)</f>
        <v>335.17</v>
      </c>
      <c r="G7" s="97">
        <f>ROUND($E$7*$C$7*0.572,2)</f>
        <v>365.87</v>
      </c>
      <c r="H7" s="97">
        <f>ROUND($E$7*$C$7*0.596,2)</f>
        <v>381.22</v>
      </c>
      <c r="I7" s="97">
        <f>ROUND($E$7*$C$7*0.62,2)</f>
        <v>396.57</v>
      </c>
      <c r="J7" s="97">
        <f>ROUND($E$7*$C$7*0.52,2)</f>
        <v>332.61</v>
      </c>
    </row>
    <row r="8" spans="1:11">
      <c r="A8" s="94" t="s">
        <v>160</v>
      </c>
      <c r="B8" s="85"/>
      <c r="C8" s="78">
        <v>1.1499999999999999</v>
      </c>
      <c r="D8" s="78" t="s">
        <v>133</v>
      </c>
      <c r="E8" s="98">
        <f>ค่าวัสดุและดำเนินการ!K21</f>
        <v>540.12</v>
      </c>
      <c r="F8" s="96">
        <f>ROUND($E$8*$C$8*0.728,2)</f>
        <v>452.19</v>
      </c>
      <c r="G8" s="97">
        <f>ROUND($E$8*$C$8*0.736,2)</f>
        <v>457.16</v>
      </c>
      <c r="H8" s="97">
        <f>ROUND($E$8*$C$8*0.764,2)</f>
        <v>474.55</v>
      </c>
      <c r="I8" s="97">
        <f>ROUND($E$8*$C$8*0.725,2)</f>
        <v>450.33</v>
      </c>
      <c r="J8" s="97">
        <f>ROUND($E$8*$C$8*0.87,2)</f>
        <v>540.39</v>
      </c>
    </row>
    <row r="9" spans="1:11">
      <c r="A9" s="94" t="s">
        <v>257</v>
      </c>
      <c r="B9" s="85"/>
      <c r="C9" s="85"/>
      <c r="D9" s="85"/>
      <c r="E9" s="78"/>
      <c r="F9" s="103"/>
      <c r="G9" s="103"/>
      <c r="H9" s="103">
        <v>398</v>
      </c>
      <c r="I9" s="103"/>
      <c r="J9" s="103">
        <v>398</v>
      </c>
      <c r="K9" s="231"/>
    </row>
    <row r="10" spans="1:11">
      <c r="A10" s="326" t="s">
        <v>12</v>
      </c>
      <c r="B10" s="327"/>
      <c r="C10" s="327"/>
      <c r="D10" s="327"/>
      <c r="E10" s="327"/>
      <c r="F10" s="104"/>
      <c r="G10" s="104"/>
      <c r="H10" s="104">
        <f>ROUNDDOWN(SUM(H6:H9),2)</f>
        <v>2133.0100000000002</v>
      </c>
      <c r="I10" s="104"/>
      <c r="J10" s="104">
        <f>ROUNDDOWN(SUM(J6:J9),2)</f>
        <v>1930.43</v>
      </c>
    </row>
    <row r="11" spans="1:11">
      <c r="A11" s="78"/>
      <c r="B11" s="78"/>
      <c r="C11" s="78"/>
      <c r="D11" s="78"/>
      <c r="E11" s="78"/>
      <c r="F11" s="90"/>
      <c r="G11" s="90"/>
      <c r="H11" s="90"/>
      <c r="I11" s="90"/>
      <c r="J11" s="90"/>
    </row>
    <row r="12" spans="1:11">
      <c r="A12" s="78"/>
      <c r="B12" s="78"/>
      <c r="C12" s="78"/>
      <c r="D12" s="78"/>
      <c r="E12" s="78"/>
      <c r="F12" s="90"/>
      <c r="G12" s="90"/>
      <c r="H12" s="90"/>
      <c r="I12" s="90"/>
      <c r="J12" s="90"/>
    </row>
    <row r="13" spans="1:11">
      <c r="A13" s="78"/>
      <c r="B13" s="78"/>
      <c r="C13" s="78"/>
      <c r="D13" s="78"/>
      <c r="E13" s="78"/>
      <c r="F13" s="90"/>
      <c r="G13" s="90"/>
      <c r="H13" s="90"/>
      <c r="I13" s="90"/>
      <c r="J13" s="90"/>
    </row>
    <row r="14" spans="1:11">
      <c r="A14" s="78"/>
      <c r="B14" s="78"/>
      <c r="C14" s="78"/>
      <c r="D14" s="78"/>
      <c r="E14" s="78"/>
      <c r="F14" s="90"/>
      <c r="G14" s="90"/>
      <c r="H14" s="90"/>
      <c r="I14" s="90"/>
      <c r="J14" s="90"/>
    </row>
    <row r="15" spans="1:11">
      <c r="A15" s="78"/>
      <c r="B15" s="78"/>
      <c r="C15" s="78"/>
      <c r="D15" s="78"/>
      <c r="E15" s="78"/>
      <c r="F15" s="90"/>
      <c r="G15" s="90"/>
      <c r="H15" s="90"/>
      <c r="I15" s="90"/>
      <c r="J15" s="90"/>
    </row>
    <row r="16" spans="1:11">
      <c r="A16" s="78"/>
      <c r="B16" s="78"/>
      <c r="C16" s="78"/>
      <c r="D16" s="78"/>
      <c r="E16" s="78"/>
      <c r="F16" s="90"/>
      <c r="G16" s="90"/>
      <c r="H16" s="90"/>
      <c r="I16" s="90"/>
      <c r="J16" s="90"/>
    </row>
    <row r="17" spans="1:10">
      <c r="A17" s="78"/>
      <c r="B17" s="78"/>
      <c r="C17" s="78"/>
      <c r="D17" s="78"/>
      <c r="E17" s="78"/>
      <c r="F17" s="90"/>
      <c r="G17" s="90"/>
      <c r="H17" s="90"/>
      <c r="I17" s="90"/>
      <c r="J17" s="90"/>
    </row>
    <row r="18" spans="1:10">
      <c r="A18" s="78"/>
      <c r="B18" s="78"/>
      <c r="C18" s="78"/>
      <c r="D18" s="78"/>
      <c r="E18" s="78"/>
      <c r="F18" s="90"/>
      <c r="G18" s="90"/>
      <c r="H18" s="90"/>
      <c r="I18" s="90"/>
      <c r="J18" s="90"/>
    </row>
    <row r="19" spans="1:10">
      <c r="A19" s="78"/>
      <c r="B19" s="78"/>
      <c r="C19" s="78"/>
      <c r="D19" s="78"/>
      <c r="E19" s="78"/>
      <c r="F19" s="90"/>
      <c r="G19" s="90"/>
      <c r="H19" s="90"/>
      <c r="I19" s="90"/>
      <c r="J19" s="90"/>
    </row>
    <row r="20" spans="1:10">
      <c r="A20" s="78"/>
      <c r="B20" s="78"/>
      <c r="C20" s="78"/>
      <c r="D20" s="78"/>
      <c r="E20" s="78"/>
      <c r="F20" s="90"/>
      <c r="G20" s="90"/>
      <c r="H20" s="90"/>
      <c r="I20" s="90"/>
      <c r="J20" s="90"/>
    </row>
    <row r="21" spans="1:10">
      <c r="A21" s="78"/>
      <c r="B21" s="78"/>
      <c r="C21" s="78"/>
      <c r="D21" s="78"/>
      <c r="E21" s="78"/>
      <c r="F21" s="90"/>
      <c r="G21" s="90"/>
      <c r="H21" s="90"/>
      <c r="I21" s="90"/>
      <c r="J21" s="90"/>
    </row>
    <row r="22" spans="1:10">
      <c r="A22" s="78"/>
      <c r="B22" s="78"/>
      <c r="C22" s="78"/>
      <c r="D22" s="78"/>
      <c r="E22" s="78"/>
      <c r="F22" s="90"/>
      <c r="G22" s="90"/>
      <c r="H22" s="90"/>
      <c r="I22" s="90"/>
      <c r="J22" s="90"/>
    </row>
    <row r="23" spans="1:10">
      <c r="A23" s="78"/>
      <c r="B23" s="78"/>
      <c r="C23" s="78"/>
      <c r="D23" s="78"/>
      <c r="E23" s="78"/>
      <c r="F23" s="90"/>
      <c r="G23" s="90"/>
      <c r="H23" s="90"/>
      <c r="I23" s="90"/>
      <c r="J23" s="90"/>
    </row>
    <row r="24" spans="1:10">
      <c r="A24" s="78"/>
      <c r="B24" s="78"/>
      <c r="C24" s="78"/>
      <c r="D24" s="78"/>
      <c r="E24" s="78"/>
      <c r="F24" s="90"/>
      <c r="G24" s="90"/>
      <c r="H24" s="90"/>
      <c r="I24" s="90"/>
      <c r="J24" s="90"/>
    </row>
    <row r="25" spans="1:10">
      <c r="A25" s="78"/>
      <c r="B25" s="78"/>
      <c r="C25" s="78"/>
      <c r="D25" s="78"/>
      <c r="E25" s="78"/>
      <c r="F25" s="90"/>
      <c r="G25" s="90"/>
      <c r="H25" s="90"/>
      <c r="I25" s="90"/>
      <c r="J25" s="90"/>
    </row>
    <row r="26" spans="1:10">
      <c r="A26" s="78"/>
      <c r="B26" s="78"/>
      <c r="C26" s="78"/>
      <c r="D26" s="78"/>
      <c r="E26" s="78"/>
      <c r="F26" s="90"/>
      <c r="G26" s="90"/>
      <c r="H26" s="90"/>
      <c r="I26" s="90"/>
      <c r="J26" s="90"/>
    </row>
    <row r="27" spans="1:10">
      <c r="A27" s="78"/>
      <c r="B27" s="78"/>
      <c r="C27" s="78"/>
      <c r="D27" s="78"/>
      <c r="E27" s="78"/>
      <c r="F27" s="90"/>
      <c r="G27" s="90"/>
      <c r="H27" s="90"/>
      <c r="I27" s="90"/>
      <c r="J27" s="90"/>
    </row>
    <row r="28" spans="1:10">
      <c r="A28" s="78"/>
      <c r="B28" s="78"/>
      <c r="C28" s="78"/>
      <c r="D28" s="78"/>
      <c r="E28" s="78"/>
      <c r="F28" s="90"/>
      <c r="G28" s="90"/>
      <c r="H28" s="90"/>
      <c r="I28" s="90"/>
      <c r="J28" s="90"/>
    </row>
    <row r="29" spans="1:10">
      <c r="A29" s="78"/>
      <c r="B29" s="78"/>
      <c r="C29" s="78"/>
      <c r="D29" s="78"/>
      <c r="E29" s="78"/>
      <c r="F29" s="90"/>
      <c r="G29" s="90"/>
      <c r="H29" s="90"/>
      <c r="I29" s="90"/>
      <c r="J29" s="90"/>
    </row>
    <row r="30" spans="1:10">
      <c r="A30" s="78"/>
      <c r="B30" s="78"/>
      <c r="C30" s="78"/>
      <c r="D30" s="78"/>
      <c r="E30" s="78"/>
      <c r="F30" s="90"/>
      <c r="G30" s="90"/>
      <c r="H30" s="90"/>
      <c r="I30" s="90"/>
      <c r="J30" s="90"/>
    </row>
    <row r="31" spans="1:10">
      <c r="A31" s="78"/>
      <c r="B31" s="78"/>
      <c r="C31" s="78"/>
      <c r="D31" s="78"/>
      <c r="E31" s="78"/>
      <c r="F31" s="90"/>
      <c r="G31" s="90"/>
      <c r="H31" s="90"/>
      <c r="I31" s="90"/>
      <c r="J31" s="90"/>
    </row>
    <row r="32" spans="1:10">
      <c r="A32" s="78"/>
      <c r="B32" s="78"/>
      <c r="C32" s="78"/>
      <c r="D32" s="78"/>
      <c r="E32" s="78"/>
      <c r="F32" s="90"/>
      <c r="G32" s="90"/>
      <c r="H32" s="90"/>
      <c r="I32" s="90"/>
      <c r="J32" s="90"/>
    </row>
    <row r="33" spans="1:10">
      <c r="A33" s="78"/>
      <c r="B33" s="78"/>
      <c r="C33" s="78"/>
      <c r="D33" s="78"/>
      <c r="E33" s="78"/>
      <c r="F33" s="90"/>
      <c r="G33" s="90"/>
      <c r="H33" s="90"/>
      <c r="I33" s="90"/>
      <c r="J33" s="90"/>
    </row>
    <row r="34" spans="1:10">
      <c r="A34" s="78"/>
      <c r="B34" s="78"/>
      <c r="C34" s="78"/>
      <c r="D34" s="78"/>
      <c r="E34" s="78"/>
      <c r="F34" s="90"/>
      <c r="G34" s="90"/>
      <c r="H34" s="90"/>
      <c r="I34" s="90"/>
      <c r="J34" s="90"/>
    </row>
    <row r="35" spans="1:10">
      <c r="A35" s="78"/>
      <c r="B35" s="78"/>
      <c r="C35" s="78"/>
      <c r="D35" s="78"/>
      <c r="E35" s="78"/>
      <c r="F35" s="90"/>
      <c r="G35" s="90"/>
      <c r="H35" s="90"/>
      <c r="I35" s="90"/>
      <c r="J35" s="90"/>
    </row>
    <row r="36" spans="1:10">
      <c r="A36" s="78"/>
      <c r="B36" s="78"/>
      <c r="C36" s="78"/>
      <c r="D36" s="78"/>
      <c r="E36" s="78"/>
      <c r="F36" s="90"/>
      <c r="G36" s="90"/>
      <c r="H36" s="90"/>
      <c r="I36" s="90"/>
      <c r="J36" s="90"/>
    </row>
    <row r="37" spans="1:10">
      <c r="A37" s="78"/>
      <c r="B37" s="78"/>
      <c r="C37" s="78"/>
      <c r="D37" s="78"/>
      <c r="E37" s="78"/>
      <c r="F37" s="90"/>
      <c r="G37" s="90"/>
      <c r="H37" s="90"/>
      <c r="I37" s="90"/>
      <c r="J37" s="90"/>
    </row>
    <row r="38" spans="1:10">
      <c r="A38" s="78"/>
      <c r="B38" s="78"/>
      <c r="C38" s="78"/>
      <c r="D38" s="78"/>
      <c r="E38" s="78"/>
      <c r="F38" s="90"/>
      <c r="G38" s="90"/>
      <c r="H38" s="90"/>
      <c r="I38" s="90"/>
      <c r="J38" s="90"/>
    </row>
    <row r="39" spans="1:10">
      <c r="A39" s="78"/>
      <c r="B39" s="78"/>
      <c r="C39" s="78"/>
      <c r="D39" s="78"/>
      <c r="E39" s="78"/>
      <c r="F39" s="90"/>
      <c r="G39" s="90"/>
      <c r="H39" s="90"/>
      <c r="I39" s="90"/>
      <c r="J39" s="90"/>
    </row>
    <row r="40" spans="1:10">
      <c r="A40" s="78"/>
      <c r="B40" s="78"/>
      <c r="C40" s="78"/>
      <c r="D40" s="78"/>
      <c r="E40" s="78"/>
      <c r="F40" s="90"/>
      <c r="G40" s="90"/>
      <c r="H40" s="90"/>
      <c r="I40" s="90"/>
      <c r="J40" s="90"/>
    </row>
    <row r="41" spans="1:10">
      <c r="A41" s="78"/>
      <c r="B41" s="78"/>
      <c r="C41" s="78"/>
      <c r="D41" s="78"/>
      <c r="E41" s="78"/>
      <c r="F41" s="90"/>
      <c r="G41" s="90"/>
      <c r="H41" s="90"/>
      <c r="I41" s="90"/>
      <c r="J41" s="90"/>
    </row>
    <row r="42" spans="1:10">
      <c r="A42" s="78"/>
      <c r="B42" s="78"/>
      <c r="C42" s="78"/>
      <c r="D42" s="78"/>
      <c r="E42" s="78"/>
      <c r="F42" s="90"/>
      <c r="G42" s="90"/>
      <c r="H42" s="90"/>
      <c r="I42" s="90"/>
      <c r="J42" s="90"/>
    </row>
    <row r="43" spans="1:10">
      <c r="A43" s="78"/>
      <c r="B43" s="78"/>
      <c r="C43" s="78"/>
      <c r="D43" s="78"/>
      <c r="E43" s="78"/>
      <c r="F43" s="90"/>
      <c r="G43" s="90"/>
      <c r="H43" s="90"/>
      <c r="I43" s="90"/>
      <c r="J43" s="90"/>
    </row>
    <row r="44" spans="1:10">
      <c r="A44" s="78"/>
      <c r="B44" s="78"/>
      <c r="C44" s="78"/>
      <c r="D44" s="78"/>
      <c r="E44" s="78"/>
      <c r="F44" s="90"/>
      <c r="G44" s="90"/>
      <c r="H44" s="90"/>
      <c r="I44" s="90"/>
      <c r="J44" s="90"/>
    </row>
    <row r="45" spans="1:10">
      <c r="A45" s="18" t="s">
        <v>256</v>
      </c>
      <c r="B45" s="71"/>
      <c r="C45" s="71"/>
      <c r="D45" s="71"/>
      <c r="E45" s="71"/>
      <c r="F45" s="71"/>
      <c r="G45" s="71"/>
      <c r="H45" s="71"/>
      <c r="I45" s="71"/>
      <c r="J45" s="71"/>
    </row>
    <row r="46" spans="1:10">
      <c r="A46" s="328" t="s">
        <v>146</v>
      </c>
      <c r="B46" s="329"/>
      <c r="C46" s="329"/>
      <c r="D46" s="329"/>
      <c r="E46" s="329"/>
      <c r="F46" s="328" t="s">
        <v>161</v>
      </c>
      <c r="G46" s="324" t="s">
        <v>162</v>
      </c>
      <c r="H46" s="324" t="s">
        <v>163</v>
      </c>
      <c r="I46" s="324" t="s">
        <v>164</v>
      </c>
      <c r="J46" s="324" t="s">
        <v>165</v>
      </c>
    </row>
    <row r="47" spans="1:10">
      <c r="A47" s="330"/>
      <c r="B47" s="331"/>
      <c r="C47" s="331"/>
      <c r="D47" s="331"/>
      <c r="E47" s="331"/>
      <c r="F47" s="330"/>
      <c r="G47" s="325"/>
      <c r="H47" s="325"/>
      <c r="I47" s="325"/>
      <c r="J47" s="325"/>
    </row>
    <row r="48" spans="1:10">
      <c r="A48" s="94" t="s">
        <v>166</v>
      </c>
      <c r="B48" s="85"/>
      <c r="C48" s="78"/>
      <c r="D48" s="78"/>
      <c r="F48" s="184"/>
      <c r="G48" s="183"/>
      <c r="H48" s="97">
        <f>ค่าวัสดุและดำเนินการ!K12</f>
        <v>2233.64</v>
      </c>
      <c r="I48" s="183"/>
      <c r="J48" s="183"/>
    </row>
    <row r="49" spans="1:10">
      <c r="A49" s="99" t="s">
        <v>167</v>
      </c>
      <c r="B49" s="100"/>
      <c r="C49" s="100"/>
      <c r="D49" s="100"/>
      <c r="E49" s="101"/>
      <c r="F49" s="102"/>
      <c r="G49" s="102"/>
      <c r="H49" s="103"/>
      <c r="I49" s="103"/>
      <c r="J49" s="103"/>
    </row>
    <row r="50" spans="1:10">
      <c r="A50" s="326" t="s">
        <v>12</v>
      </c>
      <c r="B50" s="327"/>
      <c r="C50" s="327"/>
      <c r="D50" s="327"/>
      <c r="E50" s="327"/>
      <c r="F50" s="96">
        <f>ROUND(SUM(F48:F49),2)</f>
        <v>0</v>
      </c>
      <c r="G50" s="96">
        <f>ROUND(SUM(G48:G49),2)</f>
        <v>0</v>
      </c>
      <c r="H50" s="96">
        <f>ROUND(SUM(H48:H49),2)</f>
        <v>2233.64</v>
      </c>
      <c r="I50" s="96">
        <f>ROUND(SUM(I48:I49),2)</f>
        <v>0</v>
      </c>
      <c r="J50" s="104">
        <f>ROUND(SUM(J48:J49),2)</f>
        <v>0</v>
      </c>
    </row>
  </sheetData>
  <mergeCells count="15">
    <mergeCell ref="J3:J4"/>
    <mergeCell ref="A3:E4"/>
    <mergeCell ref="F3:F4"/>
    <mergeCell ref="G3:G4"/>
    <mergeCell ref="H3:H4"/>
    <mergeCell ref="I3:I4"/>
    <mergeCell ref="I46:I47"/>
    <mergeCell ref="J46:J47"/>
    <mergeCell ref="A50:E50"/>
    <mergeCell ref="A5:E5"/>
    <mergeCell ref="A10:E10"/>
    <mergeCell ref="A46:E47"/>
    <mergeCell ref="F46:F47"/>
    <mergeCell ref="G46:G47"/>
    <mergeCell ref="H46:H47"/>
  </mergeCells>
  <printOptions horizontalCentered="1"/>
  <pageMargins left="0.59055118110236227" right="0.19685039370078741" top="0.39370078740157483" bottom="0" header="0.31496062992125984" footer="0.31496062992125984"/>
  <pageSetup paperSize="9" scale="8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view="pageBreakPreview" zoomScaleSheetLayoutView="100" workbookViewId="0">
      <selection activeCell="G6" sqref="G6:H6"/>
    </sheetView>
  </sheetViews>
  <sheetFormatPr defaultRowHeight="21"/>
  <cols>
    <col min="1" max="12" width="9" style="1"/>
    <col min="13" max="13" width="7.125" style="1" customWidth="1"/>
    <col min="14" max="14" width="10.375" style="1" customWidth="1"/>
    <col min="15" max="16384" width="9" style="1"/>
  </cols>
  <sheetData>
    <row r="1" spans="1:17">
      <c r="A1" s="56">
        <v>1</v>
      </c>
      <c r="B1" s="57" t="s">
        <v>78</v>
      </c>
      <c r="C1" s="14"/>
      <c r="D1" s="14"/>
      <c r="E1" s="14"/>
      <c r="F1" s="346">
        <v>0.4</v>
      </c>
      <c r="G1" s="346"/>
      <c r="H1" s="57" t="s">
        <v>300</v>
      </c>
      <c r="I1" s="14"/>
      <c r="J1" s="15"/>
      <c r="K1" s="55"/>
      <c r="L1" s="15"/>
      <c r="M1" s="15"/>
      <c r="N1" s="58"/>
      <c r="O1" s="15"/>
    </row>
    <row r="2" spans="1:17">
      <c r="A2" s="59"/>
      <c r="B2" s="15" t="s">
        <v>79</v>
      </c>
      <c r="C2" s="347">
        <v>0.5</v>
      </c>
      <c r="D2" s="347"/>
      <c r="E2" s="15" t="s">
        <v>80</v>
      </c>
      <c r="F2" s="15"/>
      <c r="G2" s="348">
        <v>21.28</v>
      </c>
      <c r="H2" s="349"/>
      <c r="I2" s="15"/>
      <c r="J2" s="15"/>
      <c r="K2" s="15"/>
      <c r="L2" s="15"/>
      <c r="M2" s="55" t="s">
        <v>81</v>
      </c>
      <c r="N2" s="60">
        <f>ROUND(G2*C2,2)</f>
        <v>10.64</v>
      </c>
      <c r="O2" s="15" t="s">
        <v>82</v>
      </c>
      <c r="Q2" s="61"/>
    </row>
    <row r="3" spans="1:17">
      <c r="A3" s="59"/>
      <c r="B3" s="15" t="s">
        <v>83</v>
      </c>
      <c r="C3" s="350">
        <f>ค่าวัสดุและดำเนินการ!K24</f>
        <v>0</v>
      </c>
      <c r="D3" s="350"/>
      <c r="E3" s="15" t="s">
        <v>248</v>
      </c>
      <c r="F3" s="15"/>
      <c r="G3" s="15"/>
      <c r="H3" s="15"/>
      <c r="I3" s="15"/>
      <c r="J3" s="15"/>
      <c r="K3" s="15"/>
      <c r="L3" s="15"/>
      <c r="M3" s="55" t="s">
        <v>81</v>
      </c>
      <c r="N3" s="62">
        <f>ค่าวัสดุและดำเนินการ!K24</f>
        <v>0</v>
      </c>
      <c r="O3" s="15" t="s">
        <v>82</v>
      </c>
    </row>
    <row r="4" spans="1:17">
      <c r="A4" s="59"/>
      <c r="B4" s="15" t="s">
        <v>84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55" t="s">
        <v>81</v>
      </c>
      <c r="N4" s="62">
        <f>L15</f>
        <v>9.3800000000000008</v>
      </c>
      <c r="O4" s="15" t="s">
        <v>82</v>
      </c>
    </row>
    <row r="5" spans="1:17">
      <c r="A5" s="59"/>
      <c r="B5" s="15" t="s">
        <v>236</v>
      </c>
      <c r="C5" s="15"/>
      <c r="D5" s="352">
        <v>2.5000000000000001E-2</v>
      </c>
      <c r="E5" s="352"/>
      <c r="F5" s="15" t="s">
        <v>80</v>
      </c>
      <c r="G5" s="322">
        <f>ค่าวัสดุและดำเนินการ!K20</f>
        <v>533.03</v>
      </c>
      <c r="H5" s="276"/>
      <c r="I5" s="15"/>
      <c r="J5" s="15"/>
      <c r="K5" s="15"/>
      <c r="L5" s="15"/>
      <c r="M5" s="161" t="s">
        <v>81</v>
      </c>
      <c r="N5" s="60">
        <f>ROUND(D5*G5,2)</f>
        <v>13.33</v>
      </c>
      <c r="O5" s="15" t="s">
        <v>82</v>
      </c>
    </row>
    <row r="6" spans="1:17">
      <c r="A6" s="59"/>
      <c r="B6" s="15" t="s">
        <v>99</v>
      </c>
      <c r="C6" s="15"/>
      <c r="D6" s="352">
        <v>2.5000000000000001E-2</v>
      </c>
      <c r="E6" s="352"/>
      <c r="F6" s="15" t="s">
        <v>80</v>
      </c>
      <c r="G6" s="322">
        <f>คอนกรีต!J10</f>
        <v>1930.43</v>
      </c>
      <c r="H6" s="276"/>
      <c r="I6" s="15"/>
      <c r="J6" s="15"/>
      <c r="K6" s="15"/>
      <c r="L6" s="15"/>
      <c r="M6" s="161" t="s">
        <v>81</v>
      </c>
      <c r="N6" s="60">
        <f>ROUND(D6*G6,2)</f>
        <v>48.26</v>
      </c>
      <c r="O6" s="15" t="s">
        <v>82</v>
      </c>
    </row>
    <row r="7" spans="1:17">
      <c r="A7" s="59"/>
      <c r="B7" s="15" t="s">
        <v>85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55" t="s">
        <v>81</v>
      </c>
      <c r="N7" s="63">
        <f>G21</f>
        <v>140</v>
      </c>
      <c r="O7" s="15" t="s">
        <v>82</v>
      </c>
    </row>
    <row r="8" spans="1:17">
      <c r="A8" s="59"/>
      <c r="B8" s="15" t="s">
        <v>86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55" t="s">
        <v>81</v>
      </c>
      <c r="N8" s="54">
        <f>ROUND(SUM(N2:N7),2)</f>
        <v>221.61</v>
      </c>
      <c r="O8" s="15" t="s">
        <v>82</v>
      </c>
    </row>
    <row r="9" spans="1:17" ht="21.75" thickBot="1">
      <c r="A9" s="59"/>
      <c r="B9" s="15"/>
      <c r="C9" s="15"/>
      <c r="D9" s="16"/>
      <c r="E9" s="16"/>
      <c r="F9" s="16"/>
      <c r="G9" s="15"/>
      <c r="H9" s="15"/>
      <c r="I9" s="15"/>
      <c r="J9" s="15"/>
      <c r="K9" s="15"/>
      <c r="L9" s="64" t="s">
        <v>87</v>
      </c>
      <c r="M9" s="55" t="s">
        <v>81</v>
      </c>
      <c r="N9" s="65">
        <f>ROUNDDOWN(N8,0)</f>
        <v>221</v>
      </c>
      <c r="O9" s="15" t="s">
        <v>82</v>
      </c>
    </row>
    <row r="10" spans="1:17" ht="21.75" thickTop="1">
      <c r="A10" s="59"/>
      <c r="B10" s="66" t="s">
        <v>13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67"/>
      <c r="O10" s="15"/>
    </row>
    <row r="11" spans="1:17">
      <c r="A11" s="59"/>
      <c r="B11" s="15" t="s">
        <v>88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67"/>
      <c r="O11" s="15"/>
    </row>
    <row r="12" spans="1:17">
      <c r="A12" s="59"/>
      <c r="B12" s="15" t="s">
        <v>89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67"/>
      <c r="O12" s="15"/>
    </row>
    <row r="13" spans="1:17">
      <c r="A13" s="59"/>
      <c r="B13" s="15" t="s">
        <v>90</v>
      </c>
      <c r="C13" s="15"/>
      <c r="D13" s="351">
        <v>0</v>
      </c>
      <c r="E13" s="351"/>
      <c r="F13" s="47" t="s">
        <v>91</v>
      </c>
      <c r="G13" s="351">
        <v>0</v>
      </c>
      <c r="H13" s="351"/>
      <c r="I13" s="17" t="s">
        <v>92</v>
      </c>
      <c r="J13" s="15"/>
      <c r="K13" s="55" t="s">
        <v>81</v>
      </c>
      <c r="L13" s="68">
        <f>(G13*13)+300</f>
        <v>300</v>
      </c>
      <c r="M13" s="15" t="s">
        <v>93</v>
      </c>
      <c r="N13" s="67"/>
      <c r="O13" s="15"/>
    </row>
    <row r="14" spans="1:17">
      <c r="A14" s="59"/>
      <c r="B14" s="15"/>
      <c r="C14" s="15"/>
      <c r="D14" s="47"/>
      <c r="E14" s="47"/>
      <c r="F14" s="47"/>
      <c r="G14" s="47"/>
      <c r="H14" s="47"/>
      <c r="I14" s="17"/>
      <c r="J14" s="15"/>
      <c r="K14" s="55"/>
      <c r="L14" s="15"/>
      <c r="M14" s="15"/>
      <c r="N14" s="67"/>
      <c r="O14" s="15"/>
    </row>
    <row r="15" spans="1:17">
      <c r="A15" s="59"/>
      <c r="B15" s="15" t="s">
        <v>94</v>
      </c>
      <c r="C15" s="15"/>
      <c r="D15" s="15"/>
      <c r="E15" s="15"/>
      <c r="F15" s="343">
        <f>+L13</f>
        <v>300</v>
      </c>
      <c r="G15" s="343"/>
      <c r="H15" s="69" t="s">
        <v>95</v>
      </c>
      <c r="I15" s="344">
        <f>D21</f>
        <v>32</v>
      </c>
      <c r="J15" s="345"/>
      <c r="K15" s="55" t="s">
        <v>81</v>
      </c>
      <c r="L15" s="60">
        <f>ROUND(F15/I15,2)</f>
        <v>9.3800000000000008</v>
      </c>
      <c r="M15" s="15" t="s">
        <v>82</v>
      </c>
      <c r="N15" s="67"/>
      <c r="O15" s="15"/>
    </row>
    <row r="16" spans="1:17">
      <c r="A16" s="59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67"/>
      <c r="O16" s="15"/>
    </row>
    <row r="18" spans="2:15">
      <c r="B18" s="342" t="s">
        <v>96</v>
      </c>
      <c r="C18" s="342"/>
      <c r="D18" s="342" t="s">
        <v>97</v>
      </c>
      <c r="E18" s="342"/>
      <c r="F18" s="342"/>
      <c r="G18" s="342" t="s">
        <v>85</v>
      </c>
      <c r="H18" s="342"/>
      <c r="I18" s="342"/>
      <c r="J18" s="342" t="s">
        <v>98</v>
      </c>
      <c r="K18" s="342"/>
      <c r="L18" s="342"/>
      <c r="M18" s="342"/>
      <c r="N18" s="342" t="s">
        <v>99</v>
      </c>
      <c r="O18" s="342"/>
    </row>
    <row r="19" spans="2:15">
      <c r="B19" s="332" t="s">
        <v>100</v>
      </c>
      <c r="C19" s="332"/>
      <c r="D19" s="332" t="s">
        <v>100</v>
      </c>
      <c r="E19" s="332"/>
      <c r="F19" s="332"/>
      <c r="G19" s="332" t="s">
        <v>101</v>
      </c>
      <c r="H19" s="332"/>
      <c r="I19" s="332"/>
      <c r="J19" s="332" t="s">
        <v>102</v>
      </c>
      <c r="K19" s="332"/>
      <c r="L19" s="332"/>
      <c r="M19" s="332"/>
      <c r="N19" s="332" t="s">
        <v>102</v>
      </c>
      <c r="O19" s="332"/>
    </row>
    <row r="20" spans="2:15">
      <c r="B20" s="332" t="s">
        <v>103</v>
      </c>
      <c r="C20" s="332"/>
      <c r="D20" s="333">
        <v>48</v>
      </c>
      <c r="E20" s="333"/>
      <c r="F20" s="333"/>
      <c r="G20" s="334">
        <v>140</v>
      </c>
      <c r="H20" s="334"/>
      <c r="I20" s="334"/>
      <c r="J20" s="335">
        <v>0.126</v>
      </c>
      <c r="K20" s="335"/>
      <c r="L20" s="335"/>
      <c r="M20" s="335"/>
      <c r="N20" s="336">
        <v>0.12</v>
      </c>
      <c r="O20" s="336"/>
    </row>
    <row r="21" spans="2:15">
      <c r="B21" s="332" t="s">
        <v>104</v>
      </c>
      <c r="C21" s="332"/>
      <c r="D21" s="333">
        <v>32</v>
      </c>
      <c r="E21" s="333"/>
      <c r="F21" s="333"/>
      <c r="G21" s="334">
        <v>140</v>
      </c>
      <c r="H21" s="334"/>
      <c r="I21" s="334"/>
      <c r="J21" s="335">
        <v>0.21199999999999999</v>
      </c>
      <c r="K21" s="335"/>
      <c r="L21" s="335"/>
      <c r="M21" s="335"/>
      <c r="N21" s="336">
        <v>0.18</v>
      </c>
      <c r="O21" s="336"/>
    </row>
    <row r="22" spans="2:15">
      <c r="B22" s="332" t="s">
        <v>105</v>
      </c>
      <c r="C22" s="332"/>
      <c r="D22" s="333">
        <v>24</v>
      </c>
      <c r="E22" s="333"/>
      <c r="F22" s="333"/>
      <c r="G22" s="334">
        <v>250</v>
      </c>
      <c r="H22" s="334"/>
      <c r="I22" s="334"/>
      <c r="J22" s="335">
        <v>0.32200000000000001</v>
      </c>
      <c r="K22" s="335"/>
      <c r="L22" s="335"/>
      <c r="M22" s="335"/>
      <c r="N22" s="336">
        <v>0.25</v>
      </c>
      <c r="O22" s="336"/>
    </row>
    <row r="23" spans="2:15">
      <c r="B23" s="332" t="s">
        <v>106</v>
      </c>
      <c r="C23" s="332"/>
      <c r="D23" s="333">
        <v>24</v>
      </c>
      <c r="E23" s="333"/>
      <c r="F23" s="333"/>
      <c r="G23" s="334">
        <v>345</v>
      </c>
      <c r="H23" s="334"/>
      <c r="I23" s="334"/>
      <c r="J23" s="335">
        <v>0.442</v>
      </c>
      <c r="K23" s="335"/>
      <c r="L23" s="335"/>
      <c r="M23" s="335"/>
      <c r="N23" s="336">
        <v>0.32</v>
      </c>
      <c r="O23" s="336"/>
    </row>
    <row r="24" spans="2:15">
      <c r="B24" s="332" t="s">
        <v>107</v>
      </c>
      <c r="C24" s="332"/>
      <c r="D24" s="333">
        <v>18</v>
      </c>
      <c r="E24" s="333"/>
      <c r="F24" s="333"/>
      <c r="G24" s="334">
        <v>421</v>
      </c>
      <c r="H24" s="334"/>
      <c r="I24" s="334"/>
      <c r="J24" s="335">
        <v>0.77</v>
      </c>
      <c r="K24" s="335"/>
      <c r="L24" s="335"/>
      <c r="M24" s="335"/>
      <c r="N24" s="336">
        <v>0.5</v>
      </c>
      <c r="O24" s="336"/>
    </row>
    <row r="25" spans="2:15">
      <c r="B25" s="332" t="s">
        <v>108</v>
      </c>
      <c r="C25" s="332"/>
      <c r="D25" s="333">
        <v>10</v>
      </c>
      <c r="E25" s="333"/>
      <c r="F25" s="333"/>
      <c r="G25" s="334">
        <v>510</v>
      </c>
      <c r="H25" s="334"/>
      <c r="I25" s="334"/>
      <c r="J25" s="335">
        <v>1.169</v>
      </c>
      <c r="K25" s="335"/>
      <c r="L25" s="335"/>
      <c r="M25" s="335"/>
      <c r="N25" s="336">
        <v>0.75</v>
      </c>
      <c r="O25" s="336"/>
    </row>
    <row r="26" spans="2:15">
      <c r="B26" s="332" t="s">
        <v>109</v>
      </c>
      <c r="C26" s="332"/>
      <c r="D26" s="333">
        <v>8</v>
      </c>
      <c r="E26" s="333"/>
      <c r="F26" s="333"/>
      <c r="G26" s="334">
        <v>575</v>
      </c>
      <c r="H26" s="334"/>
      <c r="I26" s="334"/>
      <c r="J26" s="335">
        <v>1.6539999999999999</v>
      </c>
      <c r="K26" s="335"/>
      <c r="L26" s="335"/>
      <c r="M26" s="335"/>
      <c r="N26" s="336">
        <v>1</v>
      </c>
      <c r="O26" s="336"/>
    </row>
    <row r="27" spans="2:15">
      <c r="B27" s="337" t="s">
        <v>110</v>
      </c>
      <c r="C27" s="337"/>
      <c r="D27" s="338">
        <v>5</v>
      </c>
      <c r="E27" s="338"/>
      <c r="F27" s="338"/>
      <c r="G27" s="339">
        <v>638</v>
      </c>
      <c r="H27" s="339"/>
      <c r="I27" s="339"/>
      <c r="J27" s="340">
        <v>2.5419999999999998</v>
      </c>
      <c r="K27" s="340"/>
      <c r="L27" s="340"/>
      <c r="M27" s="340"/>
      <c r="N27" s="341">
        <v>1.45</v>
      </c>
      <c r="O27" s="341"/>
    </row>
  </sheetData>
  <mergeCells count="62">
    <mergeCell ref="F15:G15"/>
    <mergeCell ref="I15:J15"/>
    <mergeCell ref="F1:G1"/>
    <mergeCell ref="C2:D2"/>
    <mergeCell ref="G2:H2"/>
    <mergeCell ref="C3:D3"/>
    <mergeCell ref="D13:E13"/>
    <mergeCell ref="G13:H13"/>
    <mergeCell ref="D5:E5"/>
    <mergeCell ref="D6:E6"/>
    <mergeCell ref="G5:H5"/>
    <mergeCell ref="G6:H6"/>
    <mergeCell ref="B18:C18"/>
    <mergeCell ref="D18:F18"/>
    <mergeCell ref="G18:I18"/>
    <mergeCell ref="J18:M18"/>
    <mergeCell ref="N18:O18"/>
    <mergeCell ref="B19:C19"/>
    <mergeCell ref="D19:F19"/>
    <mergeCell ref="G19:I19"/>
    <mergeCell ref="J19:M19"/>
    <mergeCell ref="N19:O19"/>
    <mergeCell ref="B21:C21"/>
    <mergeCell ref="D21:F21"/>
    <mergeCell ref="G21:I21"/>
    <mergeCell ref="J21:M21"/>
    <mergeCell ref="N21:O21"/>
    <mergeCell ref="B20:C20"/>
    <mergeCell ref="D20:F20"/>
    <mergeCell ref="G20:I20"/>
    <mergeCell ref="J20:M20"/>
    <mergeCell ref="N20:O20"/>
    <mergeCell ref="B23:C23"/>
    <mergeCell ref="D23:F23"/>
    <mergeCell ref="G23:I23"/>
    <mergeCell ref="J23:M23"/>
    <mergeCell ref="N23:O23"/>
    <mergeCell ref="B22:C22"/>
    <mergeCell ref="D22:F22"/>
    <mergeCell ref="G22:I22"/>
    <mergeCell ref="J22:M22"/>
    <mergeCell ref="N22:O22"/>
    <mergeCell ref="B25:C25"/>
    <mergeCell ref="D25:F25"/>
    <mergeCell ref="G25:I25"/>
    <mergeCell ref="J25:M25"/>
    <mergeCell ref="N25:O25"/>
    <mergeCell ref="B24:C24"/>
    <mergeCell ref="D24:F24"/>
    <mergeCell ref="G24:I24"/>
    <mergeCell ref="J24:M24"/>
    <mergeCell ref="N24:O24"/>
    <mergeCell ref="B27:C27"/>
    <mergeCell ref="D27:F27"/>
    <mergeCell ref="G27:I27"/>
    <mergeCell ref="J27:M27"/>
    <mergeCell ref="N27:O27"/>
    <mergeCell ref="B26:C26"/>
    <mergeCell ref="D26:F26"/>
    <mergeCell ref="G26:I26"/>
    <mergeCell ref="J26:M26"/>
    <mergeCell ref="N26:O26"/>
  </mergeCells>
  <printOptions horizontalCentered="1"/>
  <pageMargins left="0.59055118110236227" right="0" top="0.59055118110236227" bottom="0" header="0.31496062992125984" footer="0.31496062992125984"/>
  <pageSetup paperSize="9" scale="66" orientation="portrait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view="pageBreakPreview" zoomScale="120" zoomScaleSheetLayoutView="120" workbookViewId="0">
      <selection activeCell="L19" sqref="L19"/>
    </sheetView>
  </sheetViews>
  <sheetFormatPr defaultRowHeight="14.25"/>
  <cols>
    <col min="1" max="1" width="4.875" customWidth="1"/>
    <col min="2" max="2" width="17.25" customWidth="1"/>
    <col min="3" max="3" width="22.5" customWidth="1"/>
    <col min="4" max="4" width="5.625" customWidth="1"/>
    <col min="5" max="5" width="6.375" customWidth="1"/>
    <col min="6" max="6" width="7.25" customWidth="1"/>
  </cols>
  <sheetData>
    <row r="1" spans="1:8" ht="21">
      <c r="A1" s="7" t="s">
        <v>23</v>
      </c>
      <c r="B1" s="7"/>
      <c r="C1" s="7" t="s">
        <v>0</v>
      </c>
      <c r="D1" s="7" t="s">
        <v>24</v>
      </c>
      <c r="E1" s="7" t="s">
        <v>1</v>
      </c>
      <c r="F1" s="139" t="s">
        <v>68</v>
      </c>
      <c r="G1" s="7" t="s">
        <v>208</v>
      </c>
      <c r="H1" s="7" t="s">
        <v>13</v>
      </c>
    </row>
    <row r="2" spans="1:8" ht="21">
      <c r="A2" s="140">
        <v>1</v>
      </c>
      <c r="B2" s="39" t="s">
        <v>230</v>
      </c>
      <c r="C2" s="16"/>
      <c r="D2" s="141"/>
      <c r="E2" s="164"/>
      <c r="F2" s="142"/>
      <c r="G2" s="143"/>
      <c r="H2" s="164" t="s">
        <v>209</v>
      </c>
    </row>
    <row r="3" spans="1:8" ht="21">
      <c r="A3" s="143"/>
      <c r="B3" s="16" t="s">
        <v>211</v>
      </c>
      <c r="C3" s="16"/>
      <c r="D3" s="145">
        <v>1</v>
      </c>
      <c r="E3" s="164" t="s">
        <v>176</v>
      </c>
      <c r="F3" s="146">
        <f>ค่าวัสดุและดำเนินการ!K25</f>
        <v>654.21</v>
      </c>
      <c r="G3" s="147">
        <f>D3*F3</f>
        <v>654.21</v>
      </c>
      <c r="H3" s="164"/>
    </row>
    <row r="4" spans="1:8" ht="21">
      <c r="A4" s="143"/>
      <c r="B4" s="16" t="s">
        <v>212</v>
      </c>
      <c r="C4" s="16"/>
      <c r="D4" s="145">
        <v>0.3</v>
      </c>
      <c r="E4" s="164" t="s">
        <v>176</v>
      </c>
      <c r="F4" s="146">
        <f>ค่าวัสดุและดำเนินการ!K26</f>
        <v>545.78</v>
      </c>
      <c r="G4" s="147">
        <f>D4*F4</f>
        <v>163.73399999999998</v>
      </c>
      <c r="H4" s="144"/>
    </row>
    <row r="5" spans="1:8" ht="21">
      <c r="A5" s="143"/>
      <c r="B5" s="16" t="s">
        <v>216</v>
      </c>
      <c r="C5" s="16"/>
      <c r="D5" s="145">
        <v>0.3</v>
      </c>
      <c r="E5" s="164" t="s">
        <v>217</v>
      </c>
      <c r="F5" s="146">
        <f>ค่าวัสดุและดำเนินการ!K27</f>
        <v>0</v>
      </c>
      <c r="G5" s="147">
        <f>D5*F5</f>
        <v>0</v>
      </c>
      <c r="H5" s="144"/>
    </row>
    <row r="6" spans="1:8" ht="21">
      <c r="A6" s="143"/>
      <c r="B6" s="16" t="s">
        <v>213</v>
      </c>
      <c r="C6" s="16"/>
      <c r="D6" s="145">
        <f>D3*25%</f>
        <v>0.25</v>
      </c>
      <c r="E6" s="164" t="s">
        <v>114</v>
      </c>
      <c r="F6" s="146">
        <f>ค่าวัสดุและดำเนินการ!K28</f>
        <v>32.71</v>
      </c>
      <c r="G6" s="147">
        <f>D6*F6</f>
        <v>8.1775000000000002</v>
      </c>
      <c r="H6" s="144"/>
    </row>
    <row r="7" spans="1:8" ht="21">
      <c r="A7" s="143"/>
      <c r="B7" s="16" t="s">
        <v>218</v>
      </c>
      <c r="C7" s="16"/>
      <c r="D7" s="145">
        <v>1</v>
      </c>
      <c r="E7" s="164" t="s">
        <v>22</v>
      </c>
      <c r="F7" s="146">
        <v>0</v>
      </c>
      <c r="G7" s="147">
        <f>D7*F7</f>
        <v>0</v>
      </c>
      <c r="H7" s="144"/>
    </row>
    <row r="8" spans="1:8" ht="21">
      <c r="A8" s="143"/>
      <c r="B8" s="16"/>
      <c r="C8" s="148" t="s">
        <v>12</v>
      </c>
      <c r="D8" s="145"/>
      <c r="E8" s="164"/>
      <c r="F8" s="149" t="s">
        <v>139</v>
      </c>
      <c r="G8" s="51">
        <f>ROUND(SUM(G3:G7),2)</f>
        <v>826.12</v>
      </c>
      <c r="H8" s="144"/>
    </row>
    <row r="9" spans="1:8" ht="21">
      <c r="A9" s="143"/>
      <c r="B9" s="16"/>
      <c r="C9" s="148" t="s">
        <v>231</v>
      </c>
      <c r="D9" s="152">
        <v>1</v>
      </c>
      <c r="E9" s="164" t="s">
        <v>22</v>
      </c>
      <c r="F9" s="163" t="s">
        <v>139</v>
      </c>
      <c r="G9" s="160">
        <f>ROUND(G8/4,2)</f>
        <v>206.53</v>
      </c>
      <c r="H9" s="158"/>
    </row>
    <row r="10" spans="1:8" ht="21">
      <c r="A10" s="143"/>
      <c r="B10" s="16" t="s">
        <v>210</v>
      </c>
      <c r="C10" s="16"/>
      <c r="D10" s="145">
        <v>1</v>
      </c>
      <c r="E10" s="164" t="s">
        <v>22</v>
      </c>
      <c r="F10" s="149" t="s">
        <v>139</v>
      </c>
      <c r="G10" s="153">
        <v>133</v>
      </c>
      <c r="H10" s="144"/>
    </row>
    <row r="11" spans="1:8" ht="21.75" thickBot="1">
      <c r="A11" s="7"/>
      <c r="B11" s="7"/>
      <c r="C11" s="150" t="s">
        <v>220</v>
      </c>
      <c r="D11" s="141">
        <v>1</v>
      </c>
      <c r="E11" s="164" t="s">
        <v>22</v>
      </c>
      <c r="F11" s="149" t="s">
        <v>139</v>
      </c>
      <c r="G11" s="151">
        <f>ROUNDDOWN(G9+G10,0)</f>
        <v>339</v>
      </c>
      <c r="H11" s="144" t="s">
        <v>214</v>
      </c>
    </row>
    <row r="12" spans="1:8" ht="15" thickTop="1"/>
    <row r="14" spans="1:8" ht="21">
      <c r="A14" s="7" t="s">
        <v>23</v>
      </c>
      <c r="B14" s="7"/>
      <c r="C14" s="7" t="s">
        <v>0</v>
      </c>
      <c r="D14" s="7" t="s">
        <v>24</v>
      </c>
      <c r="E14" s="7" t="s">
        <v>1</v>
      </c>
      <c r="F14" s="139" t="s">
        <v>68</v>
      </c>
      <c r="G14" s="7" t="s">
        <v>208</v>
      </c>
      <c r="H14" s="7" t="s">
        <v>13</v>
      </c>
    </row>
    <row r="15" spans="1:8" ht="21">
      <c r="A15" s="140">
        <v>2</v>
      </c>
      <c r="B15" s="39" t="s">
        <v>215</v>
      </c>
      <c r="C15" s="16"/>
      <c r="D15" s="141"/>
      <c r="E15" s="110"/>
      <c r="F15" s="142"/>
      <c r="G15" s="143"/>
      <c r="H15" s="110" t="s">
        <v>209</v>
      </c>
    </row>
    <row r="16" spans="1:8" ht="21">
      <c r="A16" s="143"/>
      <c r="B16" s="16" t="s">
        <v>211</v>
      </c>
      <c r="C16" s="16"/>
      <c r="D16" s="145">
        <v>1</v>
      </c>
      <c r="E16" s="110" t="s">
        <v>176</v>
      </c>
      <c r="F16" s="146">
        <f>ค่าวัสดุและดำเนินการ!K25</f>
        <v>654.21</v>
      </c>
      <c r="G16" s="147">
        <f>D16*F16</f>
        <v>654.21</v>
      </c>
      <c r="H16" s="110"/>
    </row>
    <row r="17" spans="1:8" ht="21">
      <c r="A17" s="143"/>
      <c r="B17" s="16" t="s">
        <v>212</v>
      </c>
      <c r="C17" s="16"/>
      <c r="D17" s="145">
        <v>0.3</v>
      </c>
      <c r="E17" s="110" t="s">
        <v>176</v>
      </c>
      <c r="F17" s="146">
        <f>ค่าวัสดุและดำเนินการ!K26</f>
        <v>545.78</v>
      </c>
      <c r="G17" s="147">
        <f>D17*F17</f>
        <v>163.73399999999998</v>
      </c>
      <c r="H17" s="144"/>
    </row>
    <row r="18" spans="1:8" ht="21">
      <c r="A18" s="143"/>
      <c r="B18" s="16" t="s">
        <v>216</v>
      </c>
      <c r="C18" s="16"/>
      <c r="D18" s="145">
        <v>0.3</v>
      </c>
      <c r="E18" s="110" t="s">
        <v>217</v>
      </c>
      <c r="F18" s="146">
        <f>ค่าวัสดุและดำเนินการ!K27</f>
        <v>0</v>
      </c>
      <c r="G18" s="147">
        <f>D18*F18</f>
        <v>0</v>
      </c>
      <c r="H18" s="144"/>
    </row>
    <row r="19" spans="1:8" ht="21">
      <c r="A19" s="143"/>
      <c r="B19" s="16" t="s">
        <v>213</v>
      </c>
      <c r="C19" s="16"/>
      <c r="D19" s="145">
        <f>D16*25%</f>
        <v>0.25</v>
      </c>
      <c r="E19" s="110" t="s">
        <v>114</v>
      </c>
      <c r="F19" s="146">
        <f>ค่าวัสดุและดำเนินการ!K28</f>
        <v>32.71</v>
      </c>
      <c r="G19" s="147">
        <f>D19*F19</f>
        <v>8.1775000000000002</v>
      </c>
      <c r="H19" s="144"/>
    </row>
    <row r="20" spans="1:8" ht="21">
      <c r="A20" s="143"/>
      <c r="B20" s="16" t="s">
        <v>218</v>
      </c>
      <c r="C20" s="16"/>
      <c r="D20" s="145">
        <v>1</v>
      </c>
      <c r="E20" s="110" t="s">
        <v>22</v>
      </c>
      <c r="F20" s="146">
        <v>0</v>
      </c>
      <c r="G20" s="147">
        <f>D20*F20</f>
        <v>0</v>
      </c>
      <c r="H20" s="144"/>
    </row>
    <row r="21" spans="1:8" ht="21">
      <c r="A21" s="143"/>
      <c r="B21" s="16"/>
      <c r="C21" s="148" t="s">
        <v>12</v>
      </c>
      <c r="D21" s="145"/>
      <c r="E21" s="110"/>
      <c r="F21" s="149" t="s">
        <v>139</v>
      </c>
      <c r="G21" s="51">
        <f>ROUND(SUM(G16:G20),2)</f>
        <v>826.12</v>
      </c>
      <c r="H21" s="144"/>
    </row>
    <row r="22" spans="1:8" ht="21">
      <c r="A22" s="143"/>
      <c r="B22" s="16"/>
      <c r="C22" s="148" t="s">
        <v>219</v>
      </c>
      <c r="D22" s="152">
        <v>1</v>
      </c>
      <c r="E22" s="156" t="s">
        <v>22</v>
      </c>
      <c r="F22" s="157" t="s">
        <v>139</v>
      </c>
      <c r="G22" s="160">
        <f>ROUND(G21/5,2)</f>
        <v>165.22</v>
      </c>
      <c r="H22" s="158"/>
    </row>
    <row r="23" spans="1:8" ht="21">
      <c r="A23" s="143"/>
      <c r="B23" s="16" t="s">
        <v>210</v>
      </c>
      <c r="C23" s="16"/>
      <c r="D23" s="145">
        <v>1</v>
      </c>
      <c r="E23" s="110" t="s">
        <v>22</v>
      </c>
      <c r="F23" s="149" t="s">
        <v>139</v>
      </c>
      <c r="G23" s="153">
        <v>133</v>
      </c>
      <c r="H23" s="144"/>
    </row>
    <row r="24" spans="1:8" ht="21.75" thickBot="1">
      <c r="A24" s="7"/>
      <c r="B24" s="7"/>
      <c r="C24" s="150" t="s">
        <v>220</v>
      </c>
      <c r="D24" s="141">
        <v>1</v>
      </c>
      <c r="E24" s="110" t="s">
        <v>22</v>
      </c>
      <c r="F24" s="149" t="s">
        <v>139</v>
      </c>
      <c r="G24" s="151">
        <f>ROUNDDOWN(G22+G23,0)</f>
        <v>298</v>
      </c>
      <c r="H24" s="144" t="s">
        <v>214</v>
      </c>
    </row>
    <row r="25" spans="1:8" ht="15" thickTop="1"/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25"/>
  <sheetViews>
    <sheetView view="pageBreakPreview" topLeftCell="A13" zoomScale="110" zoomScaleSheetLayoutView="110" workbookViewId="0">
      <selection activeCell="F27" sqref="F27"/>
    </sheetView>
  </sheetViews>
  <sheetFormatPr defaultRowHeight="15"/>
  <cols>
    <col min="1" max="1" width="2.875" style="77" customWidth="1"/>
    <col min="2" max="2" width="15.375" style="77" customWidth="1"/>
    <col min="3" max="3" width="7.125" style="77" customWidth="1"/>
    <col min="4" max="4" width="2.625" style="77" customWidth="1"/>
    <col min="5" max="5" width="6.375" style="77" customWidth="1"/>
    <col min="6" max="6" width="6.25" style="77" customWidth="1"/>
    <col min="7" max="7" width="9" style="77"/>
    <col min="8" max="8" width="7.375" style="77" customWidth="1"/>
    <col min="9" max="10" width="6.75" style="77" customWidth="1"/>
    <col min="11" max="11" width="2" style="77" customWidth="1"/>
    <col min="12" max="12" width="1.25" style="77" customWidth="1"/>
    <col min="13" max="13" width="1.75" style="77" customWidth="1"/>
    <col min="14" max="14" width="1.875" style="77" customWidth="1"/>
    <col min="15" max="15" width="3.75" style="77" customWidth="1"/>
    <col min="16" max="16" width="11.25" style="77" customWidth="1"/>
    <col min="17" max="16384" width="9" style="77"/>
  </cols>
  <sheetData>
    <row r="1" spans="1:17" ht="21">
      <c r="A1" s="71"/>
      <c r="B1" s="72" t="s">
        <v>222</v>
      </c>
      <c r="C1" s="71"/>
      <c r="D1" s="71"/>
      <c r="E1" s="71"/>
      <c r="F1" s="71"/>
      <c r="G1" s="71"/>
      <c r="H1" s="73"/>
      <c r="I1" s="72"/>
      <c r="J1" s="71"/>
      <c r="K1" s="71"/>
      <c r="L1" s="165"/>
      <c r="M1" s="167"/>
      <c r="N1" s="166"/>
      <c r="O1" s="71"/>
      <c r="P1" s="71"/>
      <c r="Q1" s="71"/>
    </row>
    <row r="2" spans="1:17" ht="21">
      <c r="A2" s="71"/>
      <c r="B2" s="71" t="s">
        <v>237</v>
      </c>
      <c r="C2" s="162">
        <v>10</v>
      </c>
      <c r="D2" s="71" t="s">
        <v>34</v>
      </c>
      <c r="E2" s="71"/>
      <c r="F2" s="71"/>
      <c r="G2" s="71"/>
      <c r="H2" s="73"/>
      <c r="I2" s="72"/>
      <c r="J2" s="71"/>
      <c r="K2" s="71"/>
      <c r="L2" s="165"/>
      <c r="M2" s="167"/>
      <c r="N2" s="166"/>
      <c r="O2" s="71"/>
      <c r="P2" s="71"/>
      <c r="Q2" s="71"/>
    </row>
    <row r="3" spans="1:17" ht="21">
      <c r="A3" s="71"/>
      <c r="B3" s="71" t="s">
        <v>223</v>
      </c>
      <c r="C3" s="71"/>
      <c r="D3" s="79" t="s">
        <v>139</v>
      </c>
      <c r="E3" s="309">
        <v>1.65</v>
      </c>
      <c r="F3" s="309"/>
      <c r="G3" s="78" t="s">
        <v>224</v>
      </c>
      <c r="H3" s="313">
        <f>ROUNDDOWN(คอนกรีต!H50,2)</f>
        <v>2233.64</v>
      </c>
      <c r="I3" s="313"/>
      <c r="J3" s="71" t="s">
        <v>19</v>
      </c>
      <c r="K3" s="71"/>
      <c r="L3" s="74"/>
      <c r="M3" s="75"/>
      <c r="N3" s="76"/>
      <c r="O3" s="79" t="s">
        <v>81</v>
      </c>
      <c r="P3" s="106">
        <f t="shared" ref="P3:P10" si="0">ROUND(E3*H3,2)</f>
        <v>3685.51</v>
      </c>
      <c r="Q3" s="79" t="s">
        <v>19</v>
      </c>
    </row>
    <row r="4" spans="1:17" ht="21">
      <c r="A4" s="71"/>
      <c r="B4" s="71" t="s">
        <v>226</v>
      </c>
      <c r="C4" s="71"/>
      <c r="D4" s="79" t="s">
        <v>139</v>
      </c>
      <c r="E4" s="309">
        <v>67.66</v>
      </c>
      <c r="F4" s="309"/>
      <c r="G4" s="78" t="s">
        <v>225</v>
      </c>
      <c r="H4" s="313">
        <f>ROUNDDOWN(ค่าวัสดุและดำเนินการ!K13/1000,2)</f>
        <v>22.78</v>
      </c>
      <c r="I4" s="313"/>
      <c r="J4" s="71" t="s">
        <v>19</v>
      </c>
      <c r="K4" s="71"/>
      <c r="L4" s="71"/>
      <c r="M4" s="71"/>
      <c r="N4" s="71"/>
      <c r="O4" s="79" t="s">
        <v>81</v>
      </c>
      <c r="P4" s="106">
        <f t="shared" si="0"/>
        <v>1541.29</v>
      </c>
      <c r="Q4" s="79" t="s">
        <v>19</v>
      </c>
    </row>
    <row r="5" spans="1:17" ht="21">
      <c r="A5" s="71"/>
      <c r="B5" s="71" t="s">
        <v>227</v>
      </c>
      <c r="C5" s="71"/>
      <c r="D5" s="79" t="s">
        <v>139</v>
      </c>
      <c r="E5" s="313">
        <f>ROUNDDOWN((E4/1000)*25,2)</f>
        <v>1.69</v>
      </c>
      <c r="F5" s="313"/>
      <c r="G5" s="78" t="s">
        <v>225</v>
      </c>
      <c r="H5" s="313">
        <f>ROUNDDOWN(ค่าวัสดุและดำเนินการ!K18,2)</f>
        <v>65.42</v>
      </c>
      <c r="I5" s="313"/>
      <c r="J5" s="71" t="s">
        <v>19</v>
      </c>
      <c r="K5" s="71"/>
      <c r="L5" s="71"/>
      <c r="M5" s="71"/>
      <c r="N5" s="71"/>
      <c r="O5" s="79" t="s">
        <v>81</v>
      </c>
      <c r="P5" s="106">
        <f t="shared" si="0"/>
        <v>110.56</v>
      </c>
      <c r="Q5" s="79" t="s">
        <v>19</v>
      </c>
    </row>
    <row r="6" spans="1:17" ht="21">
      <c r="A6" s="71"/>
      <c r="B6" s="71" t="s">
        <v>228</v>
      </c>
      <c r="C6" s="71"/>
      <c r="D6" s="79" t="s">
        <v>139</v>
      </c>
      <c r="E6" s="309">
        <v>26.28</v>
      </c>
      <c r="F6" s="309"/>
      <c r="G6" s="78" t="s">
        <v>229</v>
      </c>
      <c r="H6" s="310">
        <f>ROUNDDOWN(แบบหล่อคอนกรีต!G11,2)</f>
        <v>339</v>
      </c>
      <c r="I6" s="310"/>
      <c r="J6" s="71" t="s">
        <v>19</v>
      </c>
      <c r="K6" s="71"/>
      <c r="L6" s="71"/>
      <c r="M6" s="71"/>
      <c r="N6" s="71"/>
      <c r="O6" s="79" t="s">
        <v>81</v>
      </c>
      <c r="P6" s="106">
        <f t="shared" si="0"/>
        <v>8908.92</v>
      </c>
      <c r="Q6" s="79" t="s">
        <v>19</v>
      </c>
    </row>
    <row r="7" spans="1:17" ht="21">
      <c r="A7" s="71"/>
      <c r="B7" s="71" t="s">
        <v>253</v>
      </c>
      <c r="C7" s="71"/>
      <c r="D7" s="79" t="s">
        <v>139</v>
      </c>
      <c r="E7" s="309">
        <v>5.86</v>
      </c>
      <c r="F7" s="309"/>
      <c r="G7" s="78" t="s">
        <v>232</v>
      </c>
      <c r="H7" s="309">
        <v>20.53</v>
      </c>
      <c r="I7" s="309"/>
      <c r="J7" s="71" t="s">
        <v>19</v>
      </c>
      <c r="K7" s="71"/>
      <c r="L7" s="71"/>
      <c r="M7" s="71"/>
      <c r="N7" s="71"/>
      <c r="O7" s="79" t="s">
        <v>81</v>
      </c>
      <c r="P7" s="106">
        <f t="shared" si="0"/>
        <v>120.31</v>
      </c>
      <c r="Q7" s="79" t="s">
        <v>19</v>
      </c>
    </row>
    <row r="8" spans="1:17" ht="21">
      <c r="A8" s="71"/>
      <c r="B8" s="71" t="s">
        <v>233</v>
      </c>
      <c r="C8" s="71"/>
      <c r="D8" s="79" t="s">
        <v>139</v>
      </c>
      <c r="E8" s="309">
        <v>22</v>
      </c>
      <c r="F8" s="309"/>
      <c r="G8" s="78" t="s">
        <v>234</v>
      </c>
      <c r="H8" s="310">
        <f>ROUNDDOWN(ค่าวัสดุและดำเนินการ!K29/6,2)</f>
        <v>0</v>
      </c>
      <c r="I8" s="310"/>
      <c r="J8" s="71" t="s">
        <v>19</v>
      </c>
      <c r="K8" s="85"/>
      <c r="L8" s="71"/>
      <c r="M8" s="71"/>
      <c r="N8" s="71"/>
      <c r="O8" s="79" t="s">
        <v>81</v>
      </c>
      <c r="P8" s="106">
        <f t="shared" si="0"/>
        <v>0</v>
      </c>
      <c r="Q8" s="79" t="s">
        <v>19</v>
      </c>
    </row>
    <row r="9" spans="1:17" ht="21">
      <c r="A9" s="71"/>
      <c r="B9" s="71" t="s">
        <v>99</v>
      </c>
      <c r="C9" s="71"/>
      <c r="D9" s="79" t="s">
        <v>139</v>
      </c>
      <c r="E9" s="309">
        <v>0.27</v>
      </c>
      <c r="F9" s="309"/>
      <c r="G9" s="78" t="s">
        <v>232</v>
      </c>
      <c r="H9" s="310">
        <f>ROUNDDOWN(คอนกรีต!J10,2)</f>
        <v>1930.43</v>
      </c>
      <c r="I9" s="310"/>
      <c r="J9" s="71" t="s">
        <v>19</v>
      </c>
      <c r="K9" s="85"/>
      <c r="L9" s="71"/>
      <c r="M9" s="71"/>
      <c r="N9" s="71"/>
      <c r="O9" s="79" t="s">
        <v>81</v>
      </c>
      <c r="P9" s="106">
        <f t="shared" si="0"/>
        <v>521.22</v>
      </c>
      <c r="Q9" s="79" t="s">
        <v>19</v>
      </c>
    </row>
    <row r="10" spans="1:17" ht="21">
      <c r="A10" s="71"/>
      <c r="B10" s="71" t="s">
        <v>236</v>
      </c>
      <c r="C10" s="71"/>
      <c r="D10" s="79" t="s">
        <v>139</v>
      </c>
      <c r="E10" s="309">
        <v>0.27</v>
      </c>
      <c r="F10" s="309"/>
      <c r="G10" s="78" t="s">
        <v>232</v>
      </c>
      <c r="H10" s="310">
        <f>ROUNDDOWN(ค่าวัสดุและดำเนินการ!K20,2)</f>
        <v>533.03</v>
      </c>
      <c r="I10" s="310"/>
      <c r="J10" s="71" t="s">
        <v>19</v>
      </c>
      <c r="K10" s="85"/>
      <c r="L10" s="71"/>
      <c r="M10" s="71"/>
      <c r="N10" s="71"/>
      <c r="O10" s="79" t="s">
        <v>81</v>
      </c>
      <c r="P10" s="106">
        <f t="shared" si="0"/>
        <v>143.91999999999999</v>
      </c>
      <c r="Q10" s="79" t="s">
        <v>19</v>
      </c>
    </row>
    <row r="11" spans="1:17" ht="21">
      <c r="A11" s="71"/>
      <c r="B11" s="71" t="s">
        <v>86</v>
      </c>
      <c r="C11" s="71"/>
      <c r="D11" s="71"/>
      <c r="E11" s="91"/>
      <c r="F11" s="71"/>
      <c r="G11" s="71"/>
      <c r="H11" s="71"/>
      <c r="I11" s="71"/>
      <c r="J11" s="71"/>
      <c r="K11" s="71"/>
      <c r="L11" s="71"/>
      <c r="M11" s="71"/>
      <c r="N11" s="71"/>
      <c r="O11" s="79" t="s">
        <v>81</v>
      </c>
      <c r="P11" s="108">
        <f>ROUND((SUM(P3:P10)),2)</f>
        <v>15031.73</v>
      </c>
      <c r="Q11" s="79" t="s">
        <v>19</v>
      </c>
    </row>
    <row r="12" spans="1:17" ht="21">
      <c r="A12" s="71"/>
      <c r="B12" s="82" t="s">
        <v>87</v>
      </c>
      <c r="C12" s="71"/>
      <c r="D12" s="79" t="s">
        <v>139</v>
      </c>
      <c r="E12" s="313">
        <f>P11</f>
        <v>15031.73</v>
      </c>
      <c r="F12" s="313"/>
      <c r="G12" s="79" t="s">
        <v>95</v>
      </c>
      <c r="H12" s="314">
        <f>C2</f>
        <v>10</v>
      </c>
      <c r="I12" s="314"/>
      <c r="J12" s="84"/>
      <c r="K12" s="71"/>
      <c r="L12" s="71"/>
      <c r="M12" s="71"/>
      <c r="N12" s="71"/>
      <c r="O12" s="79" t="s">
        <v>81</v>
      </c>
      <c r="P12" s="154">
        <f>ROUND(E12/H12,2)</f>
        <v>1503.17</v>
      </c>
      <c r="Q12" s="79" t="s">
        <v>112</v>
      </c>
    </row>
    <row r="13" spans="1:17" ht="21.75" thickBot="1">
      <c r="A13" s="71"/>
      <c r="N13" s="107" t="s">
        <v>181</v>
      </c>
      <c r="O13" s="79" t="s">
        <v>81</v>
      </c>
      <c r="P13" s="109">
        <f>ROUNDDOWN(P12,0)</f>
        <v>1503</v>
      </c>
      <c r="Q13" s="79" t="s">
        <v>112</v>
      </c>
    </row>
    <row r="14" spans="1:17" ht="21.75" thickTop="1">
      <c r="A14" s="71"/>
      <c r="N14" s="107"/>
      <c r="O14" s="79"/>
      <c r="P14" s="155"/>
      <c r="Q14" s="79"/>
    </row>
    <row r="15" spans="1:17" ht="21">
      <c r="A15" s="71"/>
      <c r="B15" s="71" t="s">
        <v>238</v>
      </c>
      <c r="C15" s="162">
        <v>1</v>
      </c>
      <c r="D15" s="71" t="s">
        <v>239</v>
      </c>
      <c r="E15" s="71"/>
      <c r="F15" s="71"/>
      <c r="G15" s="71"/>
      <c r="H15" s="73"/>
      <c r="I15" s="72"/>
      <c r="J15" s="71"/>
      <c r="K15" s="71"/>
      <c r="L15" s="165"/>
      <c r="M15" s="167"/>
      <c r="N15" s="166"/>
      <c r="O15" s="71"/>
      <c r="P15" s="71"/>
      <c r="Q15" s="71"/>
    </row>
    <row r="16" spans="1:17" ht="21">
      <c r="A16" s="71"/>
      <c r="B16" s="71" t="s">
        <v>223</v>
      </c>
      <c r="C16" s="71"/>
      <c r="D16" s="79" t="s">
        <v>139</v>
      </c>
      <c r="E16" s="309">
        <v>0.02</v>
      </c>
      <c r="F16" s="309"/>
      <c r="G16" s="78" t="s">
        <v>224</v>
      </c>
      <c r="H16" s="313">
        <f>ROUNDDOWN(คอนกรีต!H50,2)</f>
        <v>2233.64</v>
      </c>
      <c r="I16" s="313"/>
      <c r="J16" s="71" t="s">
        <v>19</v>
      </c>
      <c r="K16" s="71"/>
      <c r="L16" s="74"/>
      <c r="M16" s="75"/>
      <c r="N16" s="76"/>
      <c r="O16" s="79" t="s">
        <v>81</v>
      </c>
      <c r="P16" s="106">
        <f t="shared" ref="P16:P21" si="1">ROUND(E16*H16,2)</f>
        <v>44.67</v>
      </c>
      <c r="Q16" s="79" t="s">
        <v>19</v>
      </c>
    </row>
    <row r="17" spans="1:17" ht="21">
      <c r="A17" s="71"/>
      <c r="B17" s="71" t="s">
        <v>226</v>
      </c>
      <c r="C17" s="71"/>
      <c r="D17" s="79" t="s">
        <v>139</v>
      </c>
      <c r="E17" s="309">
        <v>2.4</v>
      </c>
      <c r="F17" s="309"/>
      <c r="G17" s="78" t="s">
        <v>225</v>
      </c>
      <c r="H17" s="313">
        <f>ค่าวัสดุและดำเนินการ!K13/1000</f>
        <v>22.789720000000003</v>
      </c>
      <c r="I17" s="313"/>
      <c r="J17" s="71" t="s">
        <v>19</v>
      </c>
      <c r="K17" s="71"/>
      <c r="L17" s="71"/>
      <c r="M17" s="71"/>
      <c r="N17" s="71"/>
      <c r="O17" s="79" t="s">
        <v>81</v>
      </c>
      <c r="P17" s="106">
        <f t="shared" si="1"/>
        <v>54.7</v>
      </c>
      <c r="Q17" s="79" t="s">
        <v>19</v>
      </c>
    </row>
    <row r="18" spans="1:17" ht="21">
      <c r="A18" s="71"/>
      <c r="B18" s="71" t="s">
        <v>227</v>
      </c>
      <c r="C18" s="71"/>
      <c r="D18" s="79" t="s">
        <v>139</v>
      </c>
      <c r="E18" s="313">
        <f>ROUNDDOWN((E17/1000)*25,2)</f>
        <v>0.06</v>
      </c>
      <c r="F18" s="313"/>
      <c r="G18" s="78" t="s">
        <v>225</v>
      </c>
      <c r="H18" s="313">
        <f>ค่าวัสดุและดำเนินการ!K18</f>
        <v>65.42</v>
      </c>
      <c r="I18" s="313"/>
      <c r="J18" s="71" t="s">
        <v>19</v>
      </c>
      <c r="K18" s="71"/>
      <c r="L18" s="71"/>
      <c r="M18" s="71"/>
      <c r="N18" s="71"/>
      <c r="O18" s="79" t="s">
        <v>81</v>
      </c>
      <c r="P18" s="106">
        <f t="shared" si="1"/>
        <v>3.93</v>
      </c>
      <c r="Q18" s="79" t="s">
        <v>19</v>
      </c>
    </row>
    <row r="19" spans="1:17" ht="21">
      <c r="A19" s="71"/>
      <c r="B19" s="71" t="s">
        <v>240</v>
      </c>
      <c r="C19" s="71"/>
      <c r="D19" s="79" t="s">
        <v>139</v>
      </c>
      <c r="E19" s="309">
        <v>0.1</v>
      </c>
      <c r="F19" s="309"/>
      <c r="G19" s="78" t="s">
        <v>229</v>
      </c>
      <c r="H19" s="310">
        <f>แบบหล่อคอนกรีต!G24</f>
        <v>298</v>
      </c>
      <c r="I19" s="310"/>
      <c r="J19" s="71" t="s">
        <v>19</v>
      </c>
      <c r="K19" s="71"/>
      <c r="L19" s="71"/>
      <c r="M19" s="71"/>
      <c r="N19" s="71"/>
      <c r="O19" s="79" t="s">
        <v>81</v>
      </c>
      <c r="P19" s="106">
        <f t="shared" si="1"/>
        <v>29.8</v>
      </c>
      <c r="Q19" s="79" t="s">
        <v>19</v>
      </c>
    </row>
    <row r="20" spans="1:17" ht="21">
      <c r="A20" s="71"/>
      <c r="B20" s="71" t="s">
        <v>233</v>
      </c>
      <c r="C20" s="71"/>
      <c r="D20" s="79" t="s">
        <v>139</v>
      </c>
      <c r="E20" s="309">
        <v>1.7</v>
      </c>
      <c r="F20" s="309"/>
      <c r="G20" s="78" t="s">
        <v>234</v>
      </c>
      <c r="H20" s="310">
        <f>ค่าวัสดุและดำเนินการ!K29/6</f>
        <v>0</v>
      </c>
      <c r="I20" s="310"/>
      <c r="J20" s="71" t="s">
        <v>19</v>
      </c>
      <c r="K20" s="85"/>
      <c r="L20" s="71"/>
      <c r="M20" s="71"/>
      <c r="N20" s="71"/>
      <c r="O20" s="79" t="s">
        <v>81</v>
      </c>
      <c r="P20" s="106">
        <f t="shared" si="1"/>
        <v>0</v>
      </c>
      <c r="Q20" s="79" t="s">
        <v>19</v>
      </c>
    </row>
    <row r="21" spans="1:17" ht="21">
      <c r="A21" s="71"/>
      <c r="B21" s="71" t="s">
        <v>241</v>
      </c>
      <c r="C21" s="71"/>
      <c r="D21" s="79" t="s">
        <v>139</v>
      </c>
      <c r="E21" s="309">
        <v>0.2</v>
      </c>
      <c r="F21" s="309"/>
      <c r="G21" s="78" t="s">
        <v>234</v>
      </c>
      <c r="H21" s="310">
        <f>ค่าวัสดุและดำเนินการ!K30</f>
        <v>0</v>
      </c>
      <c r="I21" s="310"/>
      <c r="J21" s="71" t="s">
        <v>19</v>
      </c>
      <c r="K21" s="85"/>
      <c r="L21" s="71"/>
      <c r="M21" s="71"/>
      <c r="N21" s="71"/>
      <c r="O21" s="79" t="s">
        <v>81</v>
      </c>
      <c r="P21" s="106">
        <f t="shared" si="1"/>
        <v>0</v>
      </c>
      <c r="Q21" s="79" t="s">
        <v>19</v>
      </c>
    </row>
    <row r="22" spans="1:17" ht="21">
      <c r="A22" s="71"/>
      <c r="B22" s="71" t="s">
        <v>86</v>
      </c>
      <c r="C22" s="71"/>
      <c r="D22" s="71"/>
      <c r="E22" s="91"/>
      <c r="F22" s="71"/>
      <c r="G22" s="71"/>
      <c r="H22" s="71"/>
      <c r="I22" s="71"/>
      <c r="J22" s="71"/>
      <c r="K22" s="71"/>
      <c r="L22" s="71"/>
      <c r="M22" s="71"/>
      <c r="N22" s="71"/>
      <c r="O22" s="79" t="s">
        <v>81</v>
      </c>
      <c r="P22" s="108">
        <f>ROUND((SUM(P16:P20)),2)</f>
        <v>133.1</v>
      </c>
      <c r="Q22" s="79" t="s">
        <v>19</v>
      </c>
    </row>
    <row r="23" spans="1:17" ht="21">
      <c r="A23" s="71"/>
      <c r="B23" s="82" t="s">
        <v>87</v>
      </c>
      <c r="C23" s="71"/>
      <c r="D23" s="79" t="s">
        <v>139</v>
      </c>
      <c r="E23" s="313">
        <f>P22</f>
        <v>133.1</v>
      </c>
      <c r="F23" s="313"/>
      <c r="G23" s="79" t="s">
        <v>95</v>
      </c>
      <c r="H23" s="314">
        <f>C15</f>
        <v>1</v>
      </c>
      <c r="I23" s="314"/>
      <c r="J23" s="84"/>
      <c r="K23" s="71"/>
      <c r="L23" s="71"/>
      <c r="M23" s="71"/>
      <c r="N23" s="71"/>
      <c r="O23" s="79" t="s">
        <v>81</v>
      </c>
      <c r="P23" s="154">
        <f>ROUND(E23/H23,2)</f>
        <v>133.1</v>
      </c>
      <c r="Q23" s="79" t="s">
        <v>245</v>
      </c>
    </row>
    <row r="24" spans="1:17" ht="21.75" thickBot="1">
      <c r="N24" s="107" t="s">
        <v>181</v>
      </c>
      <c r="O24" s="79" t="s">
        <v>81</v>
      </c>
      <c r="P24" s="109">
        <f>ROUNDDOWN(P23,0)</f>
        <v>133</v>
      </c>
      <c r="Q24" s="79" t="s">
        <v>245</v>
      </c>
    </row>
    <row r="25" spans="1:17" ht="15.75" thickTop="1"/>
  </sheetData>
  <mergeCells count="32">
    <mergeCell ref="E23:F23"/>
    <mergeCell ref="H23:I23"/>
    <mergeCell ref="E21:F21"/>
    <mergeCell ref="H21:I21"/>
    <mergeCell ref="E10:F10"/>
    <mergeCell ref="H10:I10"/>
    <mergeCell ref="E19:F19"/>
    <mergeCell ref="H19:I19"/>
    <mergeCell ref="E20:F20"/>
    <mergeCell ref="H20:I20"/>
    <mergeCell ref="E17:F17"/>
    <mergeCell ref="H17:I17"/>
    <mergeCell ref="E18:F18"/>
    <mergeCell ref="H18:I18"/>
    <mergeCell ref="E6:F6"/>
    <mergeCell ref="H6:I6"/>
    <mergeCell ref="E7:F7"/>
    <mergeCell ref="H7:I7"/>
    <mergeCell ref="E8:F8"/>
    <mergeCell ref="H8:I8"/>
    <mergeCell ref="E9:F9"/>
    <mergeCell ref="H9:I9"/>
    <mergeCell ref="E12:F12"/>
    <mergeCell ref="H12:I12"/>
    <mergeCell ref="E16:F16"/>
    <mergeCell ref="H16:I16"/>
    <mergeCell ref="E3:F3"/>
    <mergeCell ref="H3:I3"/>
    <mergeCell ref="E4:F4"/>
    <mergeCell ref="H4:I4"/>
    <mergeCell ref="E5:F5"/>
    <mergeCell ref="H5:I5"/>
  </mergeCells>
  <printOptions horizontalCentered="1"/>
  <pageMargins left="0.59055118110236227" right="0.19685039370078741" top="0.39370078740157483" bottom="0" header="0.31496062992125984" footer="0.31496062992125984"/>
  <pageSetup paperSize="9" scale="88" orientation="portrait" r:id="rId1"/>
  <colBreaks count="1" manualBreakCount="1">
    <brk id="17" max="1048575" man="1"/>
  </col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3"/>
  <sheetViews>
    <sheetView view="pageBreakPreview" zoomScale="120" zoomScaleNormal="120" zoomScaleSheetLayoutView="120" workbookViewId="0">
      <selection activeCell="O34" sqref="O34"/>
    </sheetView>
  </sheetViews>
  <sheetFormatPr defaultRowHeight="21"/>
  <cols>
    <col min="1" max="1" width="5.375" style="1" customWidth="1"/>
    <col min="2" max="2" width="9" style="1"/>
    <col min="3" max="3" width="14.875" style="1" customWidth="1"/>
    <col min="4" max="4" width="8.5" style="1" customWidth="1"/>
    <col min="5" max="5" width="9.75" style="1" customWidth="1"/>
    <col min="6" max="6" width="7.875" style="1" customWidth="1"/>
    <col min="7" max="7" width="8.75" style="1" customWidth="1"/>
    <col min="8" max="8" width="4.75" style="1" customWidth="1"/>
    <col min="9" max="9" width="4.25" style="1" customWidth="1"/>
    <col min="10" max="10" width="5.625" style="1" customWidth="1"/>
    <col min="11" max="11" width="4.875" style="1" customWidth="1"/>
    <col min="12" max="12" width="7.125" style="1" customWidth="1"/>
    <col min="13" max="13" width="10.625" style="1" customWidth="1"/>
    <col min="14" max="14" width="12.875" style="1" customWidth="1"/>
    <col min="15" max="15" width="9" style="1"/>
    <col min="16" max="16" width="12.25" style="1" bestFit="1" customWidth="1"/>
    <col min="17" max="16384" width="9" style="1"/>
  </cols>
  <sheetData>
    <row r="1" spans="1:17">
      <c r="A1" s="278" t="s">
        <v>262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</row>
    <row r="2" spans="1:17">
      <c r="A2" s="46" t="str">
        <f>ค่าวัสดุและดำเนินการ!A2</f>
        <v>ส่วนราชการ  : กองช่าง  องค์การบริหารส่วนตำบลป่ากลาง  อำเภอปัว  จังหวัดน่าน</v>
      </c>
    </row>
    <row r="3" spans="1:17">
      <c r="A3" s="1" t="str">
        <f>ค่าวัสดุและดำเนินการ!A3</f>
        <v>โครงการ      : ก่อสร้างถนนคอนกรีตเสริมเหล็กเข้าสู่พื้นที่การเกษตรบ้านห้วยสะนาว  หมู่ที่ 2 (หมอน 4)</v>
      </c>
    </row>
    <row r="4" spans="1:17">
      <c r="A4" s="1" t="str">
        <f>ค่าวัสดุและดำเนินการ!A5</f>
        <v xml:space="preserve">ปริมาณงาน   : เท คสล. กว้าง 4.00 เมตร  ยาว 280 เมตร  หนา 0.15 เมตร </v>
      </c>
    </row>
    <row r="5" spans="1:17">
      <c r="A5" s="1" t="str">
        <f>ค่าวัสดุและดำเนินการ!A6</f>
        <v>ที่ตั้งโครงการ : บ้านห้วยสะนาว  หมู่ที่ 2  ตำบลป่ากลาง  อำเภอปัว  จังหวัดน่าน</v>
      </c>
      <c r="G5" s="3" t="s">
        <v>265</v>
      </c>
    </row>
    <row r="6" spans="1:17">
      <c r="A6" s="1" t="str">
        <f>ค่าวัสดุและดำเนินการ!A7</f>
        <v>อัตราดอกเบี้ยเงินกู้ (MLR)   6 %</v>
      </c>
      <c r="G6" s="1" t="str">
        <f>ค่าวัสดุและดำเนินการ!G7</f>
        <v>เงินล่วงหน้าจ่าย   15  %</v>
      </c>
    </row>
    <row r="7" spans="1:17">
      <c r="A7" s="1" t="str">
        <f>ค่าวัสดุและดำเนินการ!A8</f>
        <v>เงินประกันผลงานหัก        0 %</v>
      </c>
      <c r="G7" s="1" t="str">
        <f>ค่าวัสดุและดำเนินการ!G8</f>
        <v>ภาษีมูลค่าเพิ่ม     7  %</v>
      </c>
    </row>
    <row r="8" spans="1:17">
      <c r="A8" s="1" t="s">
        <v>263</v>
      </c>
      <c r="G8" s="1" t="s">
        <v>264</v>
      </c>
    </row>
    <row r="9" spans="1:17">
      <c r="A9" s="289" t="s">
        <v>23</v>
      </c>
      <c r="B9" s="291" t="s">
        <v>0</v>
      </c>
      <c r="C9" s="291"/>
      <c r="D9" s="291"/>
      <c r="E9" s="292"/>
      <c r="F9" s="289" t="s">
        <v>1</v>
      </c>
      <c r="G9" s="295" t="s">
        <v>24</v>
      </c>
      <c r="H9" s="297" t="s">
        <v>68</v>
      </c>
      <c r="I9" s="298"/>
      <c r="J9" s="297" t="s">
        <v>25</v>
      </c>
      <c r="K9" s="298"/>
      <c r="L9" s="301" t="s">
        <v>26</v>
      </c>
      <c r="M9" s="21" t="s">
        <v>27</v>
      </c>
      <c r="N9" s="301" t="s">
        <v>77</v>
      </c>
    </row>
    <row r="10" spans="1:17">
      <c r="A10" s="290"/>
      <c r="B10" s="293"/>
      <c r="C10" s="293"/>
      <c r="D10" s="293"/>
      <c r="E10" s="294"/>
      <c r="F10" s="290"/>
      <c r="G10" s="296"/>
      <c r="H10" s="299" t="s">
        <v>69</v>
      </c>
      <c r="I10" s="300"/>
      <c r="J10" s="299"/>
      <c r="K10" s="300"/>
      <c r="L10" s="302"/>
      <c r="M10" s="22" t="s">
        <v>28</v>
      </c>
      <c r="N10" s="302"/>
    </row>
    <row r="11" spans="1:17">
      <c r="A11" s="121">
        <v>1</v>
      </c>
      <c r="B11" s="122" t="s">
        <v>189</v>
      </c>
      <c r="C11" s="24"/>
      <c r="D11" s="25"/>
      <c r="E11" s="26"/>
      <c r="F11" s="27"/>
      <c r="G11" s="28"/>
      <c r="H11" s="125"/>
      <c r="I11" s="126"/>
      <c r="J11" s="359"/>
      <c r="K11" s="360"/>
      <c r="L11" s="29"/>
      <c r="M11" s="29"/>
      <c r="N11" s="30"/>
    </row>
    <row r="12" spans="1:17">
      <c r="A12" s="23"/>
      <c r="B12" s="32" t="s">
        <v>190</v>
      </c>
      <c r="C12" s="32"/>
      <c r="D12" s="31"/>
      <c r="E12" s="33"/>
      <c r="F12" s="23" t="s">
        <v>22</v>
      </c>
      <c r="G12" s="28"/>
      <c r="H12" s="281"/>
      <c r="I12" s="282"/>
      <c r="J12" s="281"/>
      <c r="K12" s="282"/>
      <c r="L12" s="34"/>
      <c r="M12" s="43"/>
      <c r="N12" s="29"/>
    </row>
    <row r="13" spans="1:17">
      <c r="A13" s="23"/>
      <c r="B13" s="32" t="s">
        <v>191</v>
      </c>
      <c r="C13" s="32"/>
      <c r="D13" s="31"/>
      <c r="E13" s="33"/>
      <c r="F13" s="23" t="s">
        <v>20</v>
      </c>
      <c r="G13" s="28"/>
      <c r="H13" s="281"/>
      <c r="I13" s="282"/>
      <c r="J13" s="281"/>
      <c r="K13" s="282"/>
      <c r="L13" s="34"/>
      <c r="M13" s="43"/>
      <c r="N13" s="29"/>
      <c r="Q13" s="169"/>
    </row>
    <row r="14" spans="1:17">
      <c r="A14" s="23"/>
      <c r="B14" s="32" t="s">
        <v>192</v>
      </c>
      <c r="C14" s="32"/>
      <c r="D14" s="31"/>
      <c r="E14" s="33"/>
      <c r="F14" s="23" t="s">
        <v>20</v>
      </c>
      <c r="G14" s="28"/>
      <c r="H14" s="281"/>
      <c r="I14" s="282"/>
      <c r="J14" s="281"/>
      <c r="K14" s="282"/>
      <c r="L14" s="34"/>
      <c r="M14" s="43"/>
      <c r="N14" s="29"/>
    </row>
    <row r="15" spans="1:17">
      <c r="A15" s="23">
        <v>2</v>
      </c>
      <c r="B15" s="123" t="s">
        <v>194</v>
      </c>
      <c r="C15" s="32"/>
      <c r="D15" s="31"/>
      <c r="E15" s="33"/>
      <c r="F15" s="27"/>
      <c r="G15" s="36"/>
      <c r="H15" s="43"/>
      <c r="I15" s="124"/>
      <c r="J15" s="281"/>
      <c r="K15" s="282"/>
      <c r="L15" s="34"/>
      <c r="M15" s="43"/>
      <c r="N15" s="29"/>
    </row>
    <row r="16" spans="1:17">
      <c r="A16" s="23"/>
      <c r="B16" s="32" t="s">
        <v>193</v>
      </c>
      <c r="C16" s="32"/>
      <c r="D16" s="31"/>
      <c r="E16" s="33" t="s">
        <v>261</v>
      </c>
      <c r="F16" s="23" t="s">
        <v>20</v>
      </c>
      <c r="G16" s="28"/>
      <c r="H16" s="281"/>
      <c r="I16" s="282"/>
      <c r="J16" s="281"/>
      <c r="K16" s="282"/>
      <c r="L16" s="34"/>
      <c r="M16" s="43"/>
      <c r="N16" s="29"/>
    </row>
    <row r="17" spans="1:16">
      <c r="A17" s="23">
        <v>3</v>
      </c>
      <c r="B17" s="123" t="s">
        <v>195</v>
      </c>
      <c r="C17" s="32"/>
      <c r="D17" s="31"/>
      <c r="E17" s="33"/>
      <c r="F17" s="27"/>
      <c r="G17" s="36"/>
      <c r="H17" s="188"/>
      <c r="I17" s="189"/>
      <c r="J17" s="188"/>
      <c r="K17" s="189"/>
      <c r="L17" s="34"/>
      <c r="M17" s="43"/>
      <c r="N17" s="29"/>
    </row>
    <row r="18" spans="1:16">
      <c r="A18" s="23"/>
      <c r="B18" s="32" t="s">
        <v>196</v>
      </c>
      <c r="C18" s="32"/>
      <c r="D18" s="31"/>
      <c r="E18" s="33"/>
      <c r="F18" s="23" t="s">
        <v>22</v>
      </c>
      <c r="G18" s="28"/>
      <c r="H18" s="281"/>
      <c r="I18" s="282"/>
      <c r="J18" s="281"/>
      <c r="K18" s="282"/>
      <c r="L18" s="34"/>
      <c r="M18" s="43"/>
      <c r="N18" s="29"/>
    </row>
    <row r="19" spans="1:16">
      <c r="A19" s="23"/>
      <c r="B19" s="32" t="s">
        <v>197</v>
      </c>
      <c r="C19" s="32"/>
      <c r="D19" s="31"/>
      <c r="E19" s="33"/>
      <c r="F19" s="23" t="s">
        <v>34</v>
      </c>
      <c r="G19" s="28"/>
      <c r="H19" s="281"/>
      <c r="I19" s="282"/>
      <c r="J19" s="281"/>
      <c r="K19" s="282"/>
      <c r="L19" s="34"/>
      <c r="M19" s="43"/>
      <c r="N19" s="29"/>
    </row>
    <row r="20" spans="1:16">
      <c r="A20" s="23"/>
      <c r="B20" s="32" t="s">
        <v>198</v>
      </c>
      <c r="C20" s="32"/>
      <c r="D20" s="31"/>
      <c r="E20" s="33"/>
      <c r="F20" s="23" t="s">
        <v>34</v>
      </c>
      <c r="G20" s="28"/>
      <c r="H20" s="281"/>
      <c r="I20" s="282"/>
      <c r="J20" s="281"/>
      <c r="K20" s="282"/>
      <c r="L20" s="34"/>
      <c r="M20" s="43"/>
      <c r="N20" s="29"/>
    </row>
    <row r="21" spans="1:16">
      <c r="A21" s="23"/>
      <c r="B21" s="32" t="s">
        <v>199</v>
      </c>
      <c r="C21" s="32"/>
      <c r="D21" s="31"/>
      <c r="E21" s="33"/>
      <c r="F21" s="23" t="s">
        <v>34</v>
      </c>
      <c r="G21" s="28"/>
      <c r="H21" s="281"/>
      <c r="I21" s="282"/>
      <c r="J21" s="281"/>
      <c r="K21" s="282"/>
      <c r="L21" s="34"/>
      <c r="M21" s="43"/>
      <c r="N21" s="29"/>
    </row>
    <row r="22" spans="1:16">
      <c r="A22" s="23">
        <v>4</v>
      </c>
      <c r="B22" s="123" t="s">
        <v>200</v>
      </c>
      <c r="C22" s="32"/>
      <c r="D22" s="31"/>
      <c r="E22" s="33"/>
      <c r="F22" s="27"/>
      <c r="G22" s="36"/>
      <c r="H22" s="188"/>
      <c r="I22" s="189"/>
      <c r="J22" s="188"/>
      <c r="K22" s="189"/>
      <c r="L22" s="34"/>
      <c r="M22" s="43"/>
      <c r="N22" s="29"/>
    </row>
    <row r="23" spans="1:16">
      <c r="A23" s="23"/>
      <c r="B23" s="32" t="s">
        <v>201</v>
      </c>
      <c r="C23" s="32"/>
      <c r="D23" s="31"/>
      <c r="E23" s="33"/>
      <c r="F23" s="23" t="s">
        <v>20</v>
      </c>
      <c r="G23" s="28"/>
      <c r="H23" s="281"/>
      <c r="I23" s="282"/>
      <c r="J23" s="281"/>
      <c r="K23" s="282"/>
      <c r="L23" s="34"/>
      <c r="M23" s="43"/>
      <c r="N23" s="29"/>
      <c r="P23" s="168"/>
    </row>
    <row r="24" spans="1:16">
      <c r="A24" s="127"/>
      <c r="B24" s="128"/>
      <c r="C24" s="128"/>
      <c r="D24" s="129"/>
      <c r="E24" s="130"/>
      <c r="F24" s="131"/>
      <c r="G24" s="132"/>
      <c r="H24" s="133"/>
      <c r="I24" s="134"/>
      <c r="J24" s="133"/>
      <c r="K24" s="134"/>
      <c r="L24" s="42"/>
      <c r="M24" s="37"/>
      <c r="N24" s="29"/>
    </row>
    <row r="25" spans="1:16">
      <c r="A25" s="16"/>
      <c r="B25" s="16"/>
      <c r="C25" s="38"/>
      <c r="D25" s="39"/>
      <c r="E25" s="39"/>
      <c r="F25" s="16"/>
      <c r="G25" s="191"/>
      <c r="H25" s="191"/>
      <c r="I25" s="16"/>
      <c r="J25" s="16"/>
      <c r="K25" s="40"/>
      <c r="L25" s="15"/>
      <c r="M25" s="38" t="s">
        <v>250</v>
      </c>
      <c r="N25" s="136"/>
    </row>
    <row r="26" spans="1:16">
      <c r="A26" s="289" t="s">
        <v>23</v>
      </c>
      <c r="B26" s="291" t="s">
        <v>0</v>
      </c>
      <c r="C26" s="291"/>
      <c r="D26" s="291"/>
      <c r="E26" s="292"/>
      <c r="F26" s="289" t="s">
        <v>1</v>
      </c>
      <c r="G26" s="295" t="s">
        <v>24</v>
      </c>
      <c r="H26" s="297" t="s">
        <v>68</v>
      </c>
      <c r="I26" s="298"/>
      <c r="J26" s="297" t="s">
        <v>25</v>
      </c>
      <c r="K26" s="298"/>
      <c r="L26" s="301" t="s">
        <v>26</v>
      </c>
      <c r="M26" s="21" t="s">
        <v>27</v>
      </c>
      <c r="N26" s="301" t="s">
        <v>77</v>
      </c>
    </row>
    <row r="27" spans="1:16">
      <c r="A27" s="290"/>
      <c r="B27" s="293"/>
      <c r="C27" s="293"/>
      <c r="D27" s="293"/>
      <c r="E27" s="294"/>
      <c r="F27" s="290"/>
      <c r="G27" s="296"/>
      <c r="H27" s="299" t="s">
        <v>69</v>
      </c>
      <c r="I27" s="300"/>
      <c r="J27" s="299"/>
      <c r="K27" s="300"/>
      <c r="L27" s="302"/>
      <c r="M27" s="22" t="s">
        <v>28</v>
      </c>
      <c r="N27" s="302"/>
    </row>
    <row r="28" spans="1:16">
      <c r="A28" s="121"/>
      <c r="B28" s="356" t="s">
        <v>251</v>
      </c>
      <c r="C28" s="357"/>
      <c r="D28" s="357"/>
      <c r="E28" s="358"/>
      <c r="F28" s="27"/>
      <c r="G28" s="28"/>
      <c r="H28" s="125"/>
      <c r="I28" s="126"/>
      <c r="J28" s="359"/>
      <c r="K28" s="360"/>
      <c r="L28" s="29"/>
      <c r="M28" s="29"/>
      <c r="N28" s="170"/>
    </row>
    <row r="29" spans="1:16">
      <c r="A29" s="23">
        <v>5</v>
      </c>
      <c r="B29" s="123" t="s">
        <v>243</v>
      </c>
      <c r="C29" s="32"/>
      <c r="D29" s="31"/>
      <c r="E29" s="33"/>
      <c r="F29" s="27"/>
      <c r="G29" s="36"/>
      <c r="H29" s="188"/>
      <c r="I29" s="189"/>
      <c r="J29" s="188"/>
      <c r="K29" s="189"/>
      <c r="L29" s="34"/>
      <c r="M29" s="43"/>
      <c r="N29" s="29"/>
    </row>
    <row r="30" spans="1:16">
      <c r="A30" s="23"/>
      <c r="B30" s="32" t="s">
        <v>242</v>
      </c>
      <c r="C30" s="32"/>
      <c r="D30" s="31"/>
      <c r="E30" s="33"/>
      <c r="F30" s="23" t="s">
        <v>34</v>
      </c>
      <c r="G30" s="28"/>
      <c r="H30" s="281"/>
      <c r="I30" s="282"/>
      <c r="J30" s="281"/>
      <c r="K30" s="282"/>
      <c r="L30" s="34"/>
      <c r="M30" s="43"/>
      <c r="N30" s="29"/>
    </row>
    <row r="31" spans="1:16">
      <c r="A31" s="23"/>
      <c r="B31" s="32" t="s">
        <v>244</v>
      </c>
      <c r="C31" s="32"/>
      <c r="D31" s="31"/>
      <c r="E31" s="33"/>
      <c r="F31" s="23" t="s">
        <v>239</v>
      </c>
      <c r="G31" s="28"/>
      <c r="H31" s="281"/>
      <c r="I31" s="282"/>
      <c r="J31" s="281"/>
      <c r="K31" s="282"/>
      <c r="L31" s="34"/>
      <c r="M31" s="43"/>
      <c r="N31" s="29"/>
    </row>
    <row r="32" spans="1:16">
      <c r="A32" s="23">
        <v>6</v>
      </c>
      <c r="B32" s="123" t="s">
        <v>246</v>
      </c>
      <c r="C32" s="32"/>
      <c r="D32" s="31"/>
      <c r="E32" s="33"/>
      <c r="F32" s="27"/>
      <c r="G32" s="36"/>
      <c r="H32" s="188"/>
      <c r="I32" s="189"/>
      <c r="J32" s="188"/>
      <c r="K32" s="189"/>
      <c r="L32" s="34"/>
      <c r="M32" s="43"/>
      <c r="N32" s="29"/>
    </row>
    <row r="33" spans="1:16">
      <c r="A33" s="23"/>
      <c r="B33" s="32" t="s">
        <v>247</v>
      </c>
      <c r="C33" s="32"/>
      <c r="D33" s="31"/>
      <c r="E33" s="33"/>
      <c r="F33" s="23" t="s">
        <v>173</v>
      </c>
      <c r="G33" s="28"/>
      <c r="H33" s="281"/>
      <c r="I33" s="282"/>
      <c r="J33" s="281"/>
      <c r="K33" s="282"/>
      <c r="L33" s="34"/>
      <c r="M33" s="43"/>
      <c r="N33" s="29"/>
    </row>
    <row r="34" spans="1:16">
      <c r="A34" s="127">
        <v>7</v>
      </c>
      <c r="B34" s="128" t="s">
        <v>76</v>
      </c>
      <c r="C34" s="128"/>
      <c r="D34" s="129"/>
      <c r="E34" s="130"/>
      <c r="F34" s="131"/>
      <c r="G34" s="132"/>
      <c r="H34" s="133"/>
      <c r="I34" s="134"/>
      <c r="J34" s="133"/>
      <c r="K34" s="134"/>
      <c r="L34" s="42"/>
      <c r="M34" s="37"/>
      <c r="N34" s="29"/>
    </row>
    <row r="35" spans="1:16">
      <c r="A35" s="16"/>
      <c r="B35" s="16"/>
      <c r="C35" s="38"/>
      <c r="D35" s="39"/>
      <c r="E35" s="39"/>
      <c r="F35" s="16"/>
      <c r="G35" s="191"/>
      <c r="H35" s="191"/>
      <c r="I35" s="16"/>
      <c r="J35" s="16"/>
      <c r="K35" s="40"/>
      <c r="L35" s="15"/>
      <c r="M35" s="38" t="s">
        <v>202</v>
      </c>
      <c r="N35" s="136"/>
    </row>
    <row r="36" spans="1:16" ht="21.75" thickBot="1">
      <c r="A36" s="16"/>
      <c r="B36" s="16"/>
      <c r="C36" s="38"/>
      <c r="D36" s="39"/>
      <c r="E36" s="39"/>
      <c r="F36" s="16"/>
      <c r="G36" s="191"/>
      <c r="H36" s="191"/>
      <c r="I36" s="16"/>
      <c r="J36" s="16"/>
      <c r="K36" s="40"/>
      <c r="L36" s="15"/>
      <c r="M36" s="38" t="s">
        <v>252</v>
      </c>
      <c r="N36" s="135"/>
    </row>
    <row r="37" spans="1:16" ht="22.5" thickTop="1" thickBot="1">
      <c r="A37" s="15"/>
      <c r="B37" s="18" t="s">
        <v>29</v>
      </c>
      <c r="C37" s="19"/>
      <c r="D37" s="18"/>
      <c r="E37" s="18"/>
      <c r="H37" s="190"/>
      <c r="I37" s="15"/>
      <c r="J37" s="286"/>
      <c r="K37" s="287"/>
      <c r="L37" s="288"/>
      <c r="M37" s="35"/>
      <c r="N37" s="41"/>
      <c r="P37" s="174">
        <f>J37*J40</f>
        <v>0</v>
      </c>
    </row>
    <row r="38" spans="1:16" ht="21.75" thickBot="1">
      <c r="A38" s="15"/>
      <c r="B38" s="18" t="s">
        <v>30</v>
      </c>
      <c r="C38" s="19"/>
      <c r="D38" s="18"/>
      <c r="E38" s="18"/>
      <c r="H38" s="190"/>
      <c r="I38" s="15"/>
      <c r="J38" s="286"/>
      <c r="K38" s="287"/>
      <c r="L38" s="288"/>
      <c r="M38" s="35"/>
      <c r="N38" s="41"/>
    </row>
    <row r="39" spans="1:16" ht="21.75" thickBot="1">
      <c r="A39" s="15"/>
      <c r="B39" s="18"/>
      <c r="C39" s="19"/>
      <c r="D39" s="18"/>
      <c r="E39" s="18"/>
      <c r="H39" s="190"/>
      <c r="I39" s="15"/>
      <c r="J39" s="187"/>
      <c r="K39" s="187"/>
      <c r="L39" s="187"/>
      <c r="M39" s="35"/>
      <c r="N39" s="41"/>
    </row>
    <row r="40" spans="1:16" ht="21.75" thickBot="1">
      <c r="A40" s="15"/>
      <c r="B40" s="18" t="s">
        <v>31</v>
      </c>
      <c r="C40" s="19"/>
      <c r="D40" s="18"/>
      <c r="E40" s="18"/>
      <c r="H40" s="190"/>
      <c r="I40" s="15"/>
      <c r="J40" s="353"/>
      <c r="K40" s="354"/>
      <c r="L40" s="355"/>
      <c r="M40" s="35"/>
      <c r="N40" s="41"/>
    </row>
    <row r="41" spans="1:16" ht="21.75" thickBot="1">
      <c r="A41" s="15"/>
      <c r="B41" s="18" t="s">
        <v>32</v>
      </c>
      <c r="C41" s="19"/>
      <c r="D41" s="18"/>
      <c r="E41" s="18"/>
      <c r="H41" s="190"/>
      <c r="I41" s="15"/>
      <c r="J41" s="353"/>
      <c r="K41" s="354"/>
      <c r="L41" s="355"/>
      <c r="M41" s="35"/>
      <c r="N41" s="41"/>
    </row>
    <row r="42" spans="1:16">
      <c r="A42" s="15"/>
      <c r="B42" s="18"/>
      <c r="C42" s="19"/>
      <c r="D42" s="18"/>
      <c r="E42" s="18"/>
      <c r="H42" s="190"/>
      <c r="I42" s="15"/>
      <c r="J42" s="45"/>
      <c r="K42" s="45"/>
      <c r="L42" s="45"/>
      <c r="M42" s="35"/>
      <c r="N42" s="41"/>
    </row>
    <row r="43" spans="1:16">
      <c r="E43" s="3"/>
      <c r="F43" s="3"/>
      <c r="G43" s="3"/>
      <c r="H43" s="3"/>
      <c r="I43" s="3"/>
      <c r="J43" s="3"/>
      <c r="K43" s="3"/>
    </row>
    <row r="44" spans="1:16">
      <c r="E44" s="277"/>
      <c r="F44" s="277"/>
      <c r="G44" s="277"/>
      <c r="H44" s="277"/>
      <c r="I44" s="277"/>
    </row>
    <row r="45" spans="1:16">
      <c r="E45" s="277"/>
      <c r="F45" s="277"/>
      <c r="G45" s="277"/>
      <c r="H45" s="277"/>
      <c r="I45" s="277"/>
    </row>
    <row r="47" spans="1:16">
      <c r="B47" s="3"/>
      <c r="C47" s="3"/>
      <c r="D47" s="3"/>
      <c r="E47" s="3"/>
      <c r="F47" s="3"/>
      <c r="G47" s="3"/>
      <c r="H47" s="3" t="s">
        <v>268</v>
      </c>
      <c r="J47" s="3"/>
      <c r="K47" s="3"/>
      <c r="L47" s="3"/>
      <c r="M47" s="3"/>
    </row>
    <row r="48" spans="1:16">
      <c r="B48" s="277"/>
      <c r="C48" s="278"/>
      <c r="D48" s="278"/>
      <c r="I48" s="277" t="s">
        <v>266</v>
      </c>
      <c r="J48" s="277"/>
      <c r="K48" s="277"/>
      <c r="L48" s="277"/>
    </row>
    <row r="49" spans="2:13">
      <c r="B49" s="277"/>
      <c r="C49" s="278"/>
      <c r="D49" s="278"/>
      <c r="I49" s="277" t="s">
        <v>267</v>
      </c>
      <c r="J49" s="277"/>
      <c r="K49" s="277"/>
      <c r="L49" s="277"/>
    </row>
    <row r="50" spans="2:13">
      <c r="B50" s="185"/>
      <c r="C50" s="186"/>
      <c r="D50" s="186"/>
      <c r="I50" s="185"/>
      <c r="J50" s="185"/>
      <c r="K50" s="185"/>
      <c r="L50" s="185"/>
    </row>
    <row r="51" spans="2:13">
      <c r="B51" s="3"/>
      <c r="C51" s="3"/>
      <c r="D51" s="3"/>
      <c r="E51" s="3"/>
      <c r="F51" s="3"/>
      <c r="G51" s="3"/>
      <c r="H51" s="3"/>
      <c r="J51" s="3"/>
      <c r="K51" s="3"/>
      <c r="L51" s="3"/>
      <c r="M51" s="3"/>
    </row>
    <row r="52" spans="2:13">
      <c r="B52" s="185"/>
      <c r="C52" s="186"/>
      <c r="D52" s="186"/>
      <c r="I52" s="185"/>
      <c r="J52" s="185"/>
      <c r="K52" s="185"/>
      <c r="L52" s="185"/>
    </row>
    <row r="53" spans="2:13">
      <c r="B53" s="185"/>
      <c r="C53" s="186"/>
      <c r="D53" s="186"/>
      <c r="I53" s="185"/>
      <c r="J53" s="185"/>
      <c r="K53" s="185"/>
      <c r="L53" s="185"/>
    </row>
  </sheetData>
  <mergeCells count="57">
    <mergeCell ref="A1:N1"/>
    <mergeCell ref="A9:A10"/>
    <mergeCell ref="B9:E10"/>
    <mergeCell ref="F9:F10"/>
    <mergeCell ref="G9:G10"/>
    <mergeCell ref="H9:I9"/>
    <mergeCell ref="J9:K10"/>
    <mergeCell ref="L9:L10"/>
    <mergeCell ref="N9:N10"/>
    <mergeCell ref="H10:I10"/>
    <mergeCell ref="H19:I19"/>
    <mergeCell ref="J19:K19"/>
    <mergeCell ref="J11:K11"/>
    <mergeCell ref="H12:I12"/>
    <mergeCell ref="J12:K12"/>
    <mergeCell ref="H13:I13"/>
    <mergeCell ref="J13:K13"/>
    <mergeCell ref="H14:I14"/>
    <mergeCell ref="J14:K14"/>
    <mergeCell ref="J15:K15"/>
    <mergeCell ref="H16:I16"/>
    <mergeCell ref="J16:K16"/>
    <mergeCell ref="H18:I18"/>
    <mergeCell ref="J18:K18"/>
    <mergeCell ref="H20:I20"/>
    <mergeCell ref="J20:K20"/>
    <mergeCell ref="H21:I21"/>
    <mergeCell ref="J21:K21"/>
    <mergeCell ref="H23:I23"/>
    <mergeCell ref="J23:K23"/>
    <mergeCell ref="A26:A27"/>
    <mergeCell ref="B26:E27"/>
    <mergeCell ref="F26:F27"/>
    <mergeCell ref="G26:G27"/>
    <mergeCell ref="H26:I26"/>
    <mergeCell ref="J38:L38"/>
    <mergeCell ref="L26:L27"/>
    <mergeCell ref="N26:N27"/>
    <mergeCell ref="H27:I27"/>
    <mergeCell ref="B28:E28"/>
    <mergeCell ref="J28:K28"/>
    <mergeCell ref="H30:I30"/>
    <mergeCell ref="J30:K30"/>
    <mergeCell ref="J26:K27"/>
    <mergeCell ref="H31:I31"/>
    <mergeCell ref="J31:K31"/>
    <mergeCell ref="H33:I33"/>
    <mergeCell ref="J33:K33"/>
    <mergeCell ref="J37:L37"/>
    <mergeCell ref="B49:D49"/>
    <mergeCell ref="I49:L49"/>
    <mergeCell ref="J40:L40"/>
    <mergeCell ref="J41:L41"/>
    <mergeCell ref="E44:I44"/>
    <mergeCell ref="E45:I45"/>
    <mergeCell ref="B48:D48"/>
    <mergeCell ref="I48:L48"/>
  </mergeCells>
  <pageMargins left="0.39370078740157483" right="0" top="0.59055118110236227" bottom="0" header="0.31496062992125984" footer="0.31496062992125984"/>
  <pageSetup paperSize="9" scale="81" orientation="portrait" horizontalDpi="300" verticalDpi="300" r:id="rId1"/>
  <headerFooter>
    <oddHeader>&amp;Rหน้าที่ &amp;P / &amp;N</oddHeader>
  </headerFooter>
  <rowBreaks count="1" manualBreakCount="1">
    <brk id="25" max="13" man="1"/>
  </rowBreaks>
  <colBreaks count="1" manualBreakCount="1">
    <brk id="14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14" sqref="J14"/>
    </sheetView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9</vt:i4>
      </vt:variant>
      <vt:variant>
        <vt:lpstr>ช่วงที่มีชื่อ</vt:lpstr>
      </vt:variant>
      <vt:variant>
        <vt:i4>10</vt:i4>
      </vt:variant>
    </vt:vector>
  </HeadingPairs>
  <TitlesOfParts>
    <vt:vector size="19" baseType="lpstr">
      <vt:lpstr>แบบสรุปราคากลาง</vt:lpstr>
      <vt:lpstr>ค่าวัสดุและดำเนินการ</vt:lpstr>
      <vt:lpstr>ราคาต่อหน่วย</vt:lpstr>
      <vt:lpstr>คอนกรีต</vt:lpstr>
      <vt:lpstr>ท่อ</vt:lpstr>
      <vt:lpstr>แบบหล่อคอนกรีต</vt:lpstr>
      <vt:lpstr>รางระบายน้ำ</vt:lpstr>
      <vt:lpstr>เสนอแบบสรุป</vt:lpstr>
      <vt:lpstr>Sheet1</vt:lpstr>
      <vt:lpstr>คอนกรีต!Print_Area</vt:lpstr>
      <vt:lpstr>ค่าวัสดุและดำเนินการ!Print_Area</vt:lpstr>
      <vt:lpstr>ท่อ!Print_Area</vt:lpstr>
      <vt:lpstr>แบบสรุปราคากลาง!Print_Area</vt:lpstr>
      <vt:lpstr>แบบหล่อคอนกรีต!Print_Area</vt:lpstr>
      <vt:lpstr>ราคาต่อหน่วย!Print_Area</vt:lpstr>
      <vt:lpstr>รางระบายน้ำ!Print_Area</vt:lpstr>
      <vt:lpstr>เสนอแบบสรุป!Print_Area</vt:lpstr>
      <vt:lpstr>แบบสรุปราคากลาง!Print_Titles</vt:lpstr>
      <vt:lpstr>เสนอแบบสรุป!Print_Titles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pg-pc</dc:creator>
  <cp:lastModifiedBy>P'G</cp:lastModifiedBy>
  <cp:lastPrinted>2019-12-17T07:54:22Z</cp:lastPrinted>
  <dcterms:created xsi:type="dcterms:W3CDTF">2017-05-01T02:16:56Z</dcterms:created>
  <dcterms:modified xsi:type="dcterms:W3CDTF">2019-12-17T07:54:47Z</dcterms:modified>
</cp:coreProperties>
</file>