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10" windowHeight="5430" tabRatio="603" firstSheet="14" activeTab="14"/>
  </bookViews>
  <sheets>
    <sheet name="ฝายแม้ว" sheetId="1" state="hidden" r:id="rId1"/>
    <sheet name="โรงน้ำดื่ม" sheetId="2" state="hidden" r:id="rId2"/>
    <sheet name="ปร.5 อาคาร" sheetId="3" state="hidden" r:id="rId3"/>
    <sheet name="ปร.5 บ่อน้ำตื้น" sheetId="4" state="hidden" r:id="rId4"/>
    <sheet name="ล็อต 1" sheetId="5" state="hidden" r:id="rId5"/>
    <sheet name="ล็อต 2" sheetId="6" state="hidden" r:id="rId6"/>
    <sheet name="ถนน ม.5" sheetId="7" state="hidden" r:id="rId7"/>
    <sheet name="รางระบายน้ำ ม.5 (อบต)" sheetId="8" state="hidden" r:id="rId8"/>
    <sheet name="รางระบายน้ำ ม.5" sheetId="9" state="hidden" r:id="rId9"/>
    <sheet name="ปร.6" sheetId="10" state="hidden" r:id="rId10"/>
    <sheet name="ปร.5  (ก)งานสะพานท่อเหลี่ยม" sheetId="11" state="hidden" r:id="rId11"/>
    <sheet name="ปร.5  (ก)งานชลประทาน" sheetId="12" state="hidden" r:id="rId12"/>
    <sheet name="ปร.5  (ก)งานทาง" sheetId="13" state="hidden" r:id="rId13"/>
    <sheet name="ปร.4(งานชลประทาน)" sheetId="14" state="hidden" r:id="rId14"/>
    <sheet name="2ปร.5  (ก)งานอาคาร" sheetId="15" r:id="rId15"/>
    <sheet name="1ปร.4(งานอาคาร)" sheetId="16" r:id="rId16"/>
    <sheet name="ปร.4(งานทาง)" sheetId="17" state="hidden" r:id="rId17"/>
    <sheet name="ฝายแม้วสำรอง" sheetId="18" state="hidden" r:id="rId18"/>
    <sheet name="ต่อหน่วย" sheetId="19" r:id="rId19"/>
    <sheet name="ราคาวัสดุ" sheetId="20" r:id="rId20"/>
  </sheets>
  <externalReferences>
    <externalReference r:id="rId23"/>
  </externalReferences>
  <definedNames>
    <definedName name="_xlfn.BAHTTEXT" hidden="1">#NAME?</definedName>
    <definedName name="_xlnm.Print_Area" localSheetId="15">'1ปร.4(งานอาคาร)'!$A$1:$J$29</definedName>
    <definedName name="_xlnm.Print_Area" localSheetId="14">'2ปร.5  (ก)งานอาคาร'!$A$1:$H$36</definedName>
    <definedName name="_xlnm.Print_Area" localSheetId="18">'ต่อหน่วย'!$A$1:$J$36</definedName>
    <definedName name="_xlnm.Print_Area" localSheetId="6">'ถนน ม.5'!$A$1:$J$61</definedName>
    <definedName name="_xlnm.Print_Area" localSheetId="13">'ปร.4(งานชลประทาน)'!$A$1:$K$49</definedName>
    <definedName name="_xlnm.Print_Area" localSheetId="16">'ปร.4(งานทาง)'!$A$1:$K$49</definedName>
    <definedName name="_xlnm.Print_Area" localSheetId="11">'ปร.5  (ก)งานชลประทาน'!$A$1:$O$41</definedName>
    <definedName name="_xlnm.Print_Area" localSheetId="12">'ปร.5  (ก)งานทาง'!$A$1:$O$41</definedName>
    <definedName name="_xlnm.Print_Area" localSheetId="10">'ปร.5  (ก)งานสะพานท่อเหลี่ยม'!$A$1:$O$42</definedName>
    <definedName name="_xlnm.Print_Area" localSheetId="3">'ปร.5 บ่อน้ำตื้น'!$A$1:$O$44</definedName>
    <definedName name="_xlnm.Print_Area" localSheetId="2">'ปร.5 อาคาร'!$A$1:$O$44</definedName>
    <definedName name="_xlnm.Print_Area" localSheetId="0">'ฝายแม้ว'!$A$1:$J$85</definedName>
    <definedName name="_xlnm.Print_Area" localSheetId="17">'ฝายแม้วสำรอง'!$A$1:$J$49</definedName>
    <definedName name="_xlnm.Print_Area" localSheetId="19">'ราคาวัสดุ'!$A$1:$L$38</definedName>
    <definedName name="_xlnm.Print_Area" localSheetId="8">'รางระบายน้ำ ม.5'!$A$1:$J$36</definedName>
    <definedName name="_xlnm.Print_Area" localSheetId="7">'รางระบายน้ำ ม.5 (อบต)'!$A$1:$J$37</definedName>
    <definedName name="_xlnm.Print_Area" localSheetId="4">'ล็อต 1'!$A$1:$K$31</definedName>
    <definedName name="_xlnm.Print_Area" localSheetId="5">'ล็อต 2'!$A$1:$J$60</definedName>
    <definedName name="_xlnm.Print_Titles" localSheetId="15">'1ปร.4(งานอาคาร)'!$1:$8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E24" authorId="0">
      <text>
        <r>
          <rPr>
            <b/>
            <sz val="9"/>
            <rFont val="Tahoma"/>
            <family val="2"/>
          </rPr>
          <t xml:space="preserve">Windows User:
4.85*90+10+25=471.5
</t>
        </r>
      </text>
    </comment>
  </commentList>
</comments>
</file>

<file path=xl/sharedStrings.xml><?xml version="1.0" encoding="utf-8"?>
<sst xmlns="http://schemas.openxmlformats.org/spreadsheetml/2006/main" count="1470" uniqueCount="476">
  <si>
    <t>รายการ</t>
  </si>
  <si>
    <t>จำนวน</t>
  </si>
  <si>
    <t>หน่วย</t>
  </si>
  <si>
    <t>จำนวนเงิน</t>
  </si>
  <si>
    <t>หมายเหตุ</t>
  </si>
  <si>
    <t>ลำดับที่</t>
  </si>
  <si>
    <t>สถานที่ก่อสร้าง</t>
  </si>
  <si>
    <t>แบบเลขที่</t>
  </si>
  <si>
    <t>รายการเลขที่</t>
  </si>
  <si>
    <t>กอง</t>
  </si>
  <si>
    <t>กรม</t>
  </si>
  <si>
    <t>ลบ.ม.</t>
  </si>
  <si>
    <t>ตร.ม.</t>
  </si>
  <si>
    <t>รวมค่าก่อสร้างเป็นเงินทั้งสิ้น</t>
  </si>
  <si>
    <t>คิดเป็นเงินประมาณ</t>
  </si>
  <si>
    <t>ประมาณการโดย       ……………………………….………………….</t>
  </si>
  <si>
    <t xml:space="preserve">                                      (…………………………….………………..)</t>
  </si>
  <si>
    <t>ตรวจ                           ……………………………….………………….    หัวหน้าฝ่ายประมาณราคา</t>
  </si>
  <si>
    <t>เห็นชอบ                    ……………………………….………………….   ผู้อำนวยการกอง</t>
  </si>
  <si>
    <t>ราคาต่อหน่วย</t>
  </si>
  <si>
    <t>ค่าก่อสร้าง</t>
  </si>
  <si>
    <t>(บาท)</t>
  </si>
  <si>
    <t>แบบ ปร. 6  แผ่นที่</t>
  </si>
  <si>
    <t xml:space="preserve">ประมาณการเมื่อวันที่                           เดือน                                        </t>
  </si>
  <si>
    <t>พ.ศ.</t>
  </si>
  <si>
    <t>รวม</t>
  </si>
  <si>
    <t>กก.</t>
  </si>
  <si>
    <t>ท่อน</t>
  </si>
  <si>
    <t>สรุปงานที่ทำการองค์การบริหารส่วนตำบลขนาดเล็ก</t>
  </si>
  <si>
    <t>แบบ  ก.  (ฐานรากแผ่)</t>
  </si>
  <si>
    <t>อาคารที่ทำการ</t>
  </si>
  <si>
    <t>อาคารห้องน้ำ - ส้วมสาธารณะ</t>
  </si>
  <si>
    <t xml:space="preserve">รายประมาณการค่าก่อสร้าง   </t>
  </si>
  <si>
    <t>ตัวอักษร   (=หนึ่งล้านหกหมื่นแปดพันบาทถ้วน=)</t>
  </si>
  <si>
    <t>รวมค่าก่อสร้าง</t>
  </si>
  <si>
    <t>ประมาณการโดย       ……………………………….……หัวหน้าส่วนโยธาองค์การบริหารส่วนตำบลท่าแฝก</t>
  </si>
  <si>
    <t xml:space="preserve">                                      (……นายโกเมนทร์    ดาตา………)</t>
  </si>
  <si>
    <t>ตรวจ                 ……………………………….…………. หัวหน้าส่วนโยธาองค์การบริหารส่วนตำบลท่าแฝก</t>
  </si>
  <si>
    <t xml:space="preserve">                                     (……นายโกเมนทร์    ดาตา………)</t>
  </si>
  <si>
    <t>เห็นชอบ          ……………………………….…………  นายกองค์การบริหารส่วนตำบลท่าแฝก</t>
  </si>
  <si>
    <t xml:space="preserve">                                  (……นายชัยชนะศักดิ์    ยะราช…….)</t>
  </si>
  <si>
    <r>
      <t xml:space="preserve">รายประมาณการค่าก่อสร้าง   </t>
    </r>
    <r>
      <rPr>
        <sz val="14"/>
        <rFont val="AngsanaUPC"/>
        <family val="1"/>
      </rPr>
      <t>อาคารที่ทำการองค์การบริหารส่วนตำบล  ขนาดเล็ก  แบบ ก. (ฐานรากแผ่)</t>
    </r>
  </si>
  <si>
    <r>
      <t xml:space="preserve">สถานที่ก่อสร้าง  </t>
    </r>
    <r>
      <rPr>
        <sz val="14"/>
        <rFont val="AngsanaUPC"/>
        <family val="1"/>
      </rPr>
      <t xml:space="preserve"> หมู่ที่ 5  บ้านป่ากั้ง  ตำบลท่าแฝก  อำเภอท่าปลา   จังหวัดอุตรดิตถ์</t>
    </r>
  </si>
  <si>
    <r>
      <t xml:space="preserve">แบบเลขที่     </t>
    </r>
    <r>
      <rPr>
        <sz val="14"/>
        <rFont val="AngsanaUPC"/>
        <family val="1"/>
      </rPr>
      <t>สถ 39045 - 0351-01</t>
    </r>
  </si>
  <si>
    <t>รายการเลขที่         -</t>
  </si>
  <si>
    <r>
      <t xml:space="preserve">กรม   </t>
    </r>
    <r>
      <rPr>
        <sz val="14"/>
        <rFont val="AngsanaUPC"/>
        <family val="1"/>
      </rPr>
      <t>ส่งเสริมการปกครองท้องถิ่น</t>
    </r>
  </si>
  <si>
    <r>
      <t xml:space="preserve">ประมาณการเมื่อวันที่     </t>
    </r>
    <r>
      <rPr>
        <sz val="14"/>
        <rFont val="AngsanaUPC"/>
        <family val="1"/>
      </rPr>
      <t xml:space="preserve">4   </t>
    </r>
    <r>
      <rPr>
        <sz val="16"/>
        <rFont val="AngsanaUPC"/>
        <family val="1"/>
      </rPr>
      <t xml:space="preserve">  เดือน   </t>
    </r>
    <r>
      <rPr>
        <sz val="14"/>
        <rFont val="AngsanaUPC"/>
        <family val="1"/>
      </rPr>
      <t xml:space="preserve">กันยายน  </t>
    </r>
    <r>
      <rPr>
        <sz val="16"/>
        <rFont val="AngsanaUPC"/>
        <family val="1"/>
      </rPr>
      <t xml:space="preserve">   พ.ศ.   </t>
    </r>
    <r>
      <rPr>
        <sz val="14"/>
        <rFont val="AngsanaUPC"/>
        <family val="1"/>
      </rPr>
      <t xml:space="preserve"> 2546                 </t>
    </r>
    <r>
      <rPr>
        <sz val="16"/>
        <rFont val="AngsanaUPC"/>
        <family val="1"/>
      </rPr>
      <t xml:space="preserve">                     </t>
    </r>
  </si>
  <si>
    <r>
      <t xml:space="preserve">กอง        </t>
    </r>
    <r>
      <rPr>
        <sz val="14"/>
        <rFont val="AngsanaUPC"/>
        <family val="1"/>
      </rPr>
      <t>ส่วนโยธาองค์การบริหารส่วนตำบลท่าแฝก</t>
    </r>
  </si>
  <si>
    <t>ทรายรองพื้น</t>
  </si>
  <si>
    <t>เหล็กเส้นกลม RB 9 มม.</t>
  </si>
  <si>
    <t xml:space="preserve">เหล็กฉาก L - 40 x 40 x 4 มม. ยาว 6 เมตร  </t>
  </si>
  <si>
    <t>สีกันสนิม</t>
  </si>
  <si>
    <t>คอนกรีต 1:2:4</t>
  </si>
  <si>
    <t>บัญชีแสดงปริมาณวัสดุและค่าแรง</t>
  </si>
  <si>
    <t>หน่วยงานเจ้าของโครงการ  :  องค์การบริการส่วนตำบลท่าแฝก  อำเภอน้ำปาด  จังหวัดอุตรดิตถ์</t>
  </si>
  <si>
    <t>ปร.4</t>
  </si>
  <si>
    <t>กลุ่มงาน         :  ส่วนโยธา  องค์การบริหารส่วนตำบลท่าแฝก</t>
  </si>
  <si>
    <t>จำนวน        แผ่น</t>
  </si>
  <si>
    <t>ค่าวัสดุ(บาท)</t>
  </si>
  <si>
    <t>ค่าแรงงาน(บาท)</t>
  </si>
  <si>
    <t xml:space="preserve">ชื่อโครงการ     : ก่อสร้างรางระบายน้ำ คอนกรีตเสริมเหล็ก รูปตัวยู ขนาด 0.50 x 0.60 x 128 เมตร </t>
  </si>
  <si>
    <t xml:space="preserve">รายละเอียดแบบ :แบบองค์การบริหารส่วนตำบลท่าแฝก </t>
  </si>
  <si>
    <t>แผ่นที่ 1/1</t>
  </si>
  <si>
    <t>รวมค่างาน</t>
  </si>
  <si>
    <t>Factor F</t>
  </si>
  <si>
    <t>ต้นทุน (บาท)</t>
  </si>
  <si>
    <t>เงื่อนไข</t>
  </si>
  <si>
    <t xml:space="preserve"> -เงินประกันผลงาน  0%       </t>
  </si>
  <si>
    <t xml:space="preserve">ตัวหนังสือ </t>
  </si>
  <si>
    <t>สถานที่ก่อสร้าง : บ้านป่ากั้ง  หมู่ที่ 5 ตำบลท่าแฝก  อำเภอน้ำปาด  จังหวัดอุตรดิตถ์</t>
  </si>
  <si>
    <t>ขุดดินถมกลับ</t>
  </si>
  <si>
    <t xml:space="preserve"> -ภาษี                  7 %</t>
  </si>
  <si>
    <t xml:space="preserve">  -ค่าปูผิวคอนกรีต</t>
  </si>
  <si>
    <t xml:space="preserve">  -คอนกรีต</t>
  </si>
  <si>
    <t>ปรับพื้นที่ก่อสร้าง</t>
  </si>
  <si>
    <t>เหล็กเสริมคอนกรีต</t>
  </si>
  <si>
    <t xml:space="preserve">  -เหล็กเส้นกลม RB 6 มม.</t>
  </si>
  <si>
    <t>ไม้แบบ</t>
  </si>
  <si>
    <t xml:space="preserve">  -ค่าแรงติดตั้งไม้แบบ</t>
  </si>
  <si>
    <t xml:space="preserve">  -ไม้แบบใช้ได้ 5 ครั้ง</t>
  </si>
  <si>
    <t>งานอื่น</t>
  </si>
  <si>
    <t xml:space="preserve">  -CONTRACTION JOINT</t>
  </si>
  <si>
    <t xml:space="preserve">  -EXPANSION JOINT</t>
  </si>
  <si>
    <t xml:space="preserve">  -LONGITUDINAL JOINT</t>
  </si>
  <si>
    <t xml:space="preserve">  -ดินถมไหล่ทาง</t>
  </si>
  <si>
    <t>ม.</t>
  </si>
  <si>
    <t>ไม้แบบ ใช้ได้ 5 ครั้ง</t>
  </si>
  <si>
    <t>ชื่อโครงการ     : ก่อสร้างถนนคอนกรีตเสริมเหล็ก ขนาดกว้าง 4.00 เมตร ยาว 40 เมตร   หนา 0.15 เมตร</t>
  </si>
  <si>
    <t>ไม้แบบ ใช้ได้ 5  ครั้ง</t>
  </si>
  <si>
    <t>ค่าวัสดุ</t>
  </si>
  <si>
    <t>ค่าแรงงาน</t>
  </si>
  <si>
    <t>ค่าวัสดุ+ค่าแรงงาน</t>
  </si>
  <si>
    <t>ประเภทงานทาง Factor F 1.3365</t>
  </si>
  <si>
    <t>ป้ายประชาสัมพันธ์</t>
  </si>
  <si>
    <t>ปรับราคาเหมาะสม</t>
  </si>
  <si>
    <t>รวมค่าก่อสร้าง+ป้ายประชาสัมพันธ์</t>
  </si>
  <si>
    <t>สถานที่ก่อสร้าง : องค์การบริหารส่วนตำบลท่าแฝก ตำบลท่าแฝก  อำเภอน้ำปาด  จังหวัดอุตรดิตถ์</t>
  </si>
  <si>
    <t>แผ่นที่ 1/2</t>
  </si>
  <si>
    <t>แผ่นที่ 2/2</t>
  </si>
  <si>
    <t>บัญชีสรุปปริมาณวัสดุและค่าแรงงาน</t>
  </si>
  <si>
    <t>แบบ ปร.5</t>
  </si>
  <si>
    <t>ระยะเวลา</t>
  </si>
  <si>
    <t>ก่อสร้าง 45      วัน</t>
  </si>
  <si>
    <t>(นายนัฏฐิชัย  ใจมั่น)</t>
  </si>
  <si>
    <t>ประมาณการ   : วันที่  29    เดือน มกราคม พ.ศ.2559</t>
  </si>
  <si>
    <t>ประมาณการ   : วันที่  29      เดือน มกราคม พ.ศ.2559</t>
  </si>
  <si>
    <t xml:space="preserve">ชื่อโครงการ     : ก่อสร้างรางระบายน้ำ คอนกรีตเสริมเหล็ก รูปตัวยู ขนาด 0.50 x 0.60 x 85 เมตร </t>
  </si>
  <si>
    <t>เหล็กเส้น DB 12 มม.</t>
  </si>
  <si>
    <t>เหล็กเส้นกลม RB 6 มม.</t>
  </si>
  <si>
    <t>ลวดผูกเหล็ก</t>
  </si>
  <si>
    <t>];f</t>
  </si>
  <si>
    <t>ผู้อำนวยการกองช่าง</t>
  </si>
  <si>
    <t>ประมาณการ   : วันที่  10   เดือน พฤษภาคม พ.ศ.2559</t>
  </si>
  <si>
    <t>หน่วยงานเจ้าของโครงการ  :  องค์การบริการส่วนตำบลน้ำปั้ว  อำเภอเวียงสา  จังหวัดน่าน</t>
  </si>
  <si>
    <t>กลุ่มงาน         :  กองช่าง  องค์การบริหารส่วนตำบลน้ำปั้ว</t>
  </si>
  <si>
    <t>สถานที่ก่อสร้าง : ตำบลน้ำปั้ว  อำเภอเวียงสา จังหวัดน่าน</t>
  </si>
  <si>
    <t xml:space="preserve">รายละเอียดแบบ :แบบองค์การบริหารส่วนตำบลน้ำปั้ว เลขที่ </t>
  </si>
  <si>
    <t>งานถางป่าขุดตอ(ขนาดกลาง)</t>
  </si>
  <si>
    <t>งานดินขุด(ร่องแกน)</t>
  </si>
  <si>
    <t>งานดินถม(ร่องแกน)</t>
  </si>
  <si>
    <t>งานกล่องลวดตาข่าย ขนาด 1.00x0.50x2.00 ม.</t>
  </si>
  <si>
    <t>งานกล่องลวดตาข่าย ขนาด 1.00x1.00x2.00 ม.</t>
  </si>
  <si>
    <t>งานแผ่นใยสังเคราะห์</t>
  </si>
  <si>
    <t>งานหินเรียง</t>
  </si>
  <si>
    <t>กล่อง</t>
  </si>
  <si>
    <t>งานท่อคอนกรีตเสริมเหล็กขนาด 0.80 ม.</t>
  </si>
  <si>
    <t>งานหินบรรจุกล่องลวดตาข่าย</t>
  </si>
  <si>
    <t>จุดที่ 1 ร่องปั้ว</t>
  </si>
  <si>
    <t>งานถางป่าขุดตอ(ขนาดเบา)</t>
  </si>
  <si>
    <t>ชื่อโครงการ     : ปรับปรุงซ่อมแซมถนนข้ามลำห้วย จำนวน  4 จุด</t>
  </si>
  <si>
    <t>งานดินขุด</t>
  </si>
  <si>
    <t>งานดินถม</t>
  </si>
  <si>
    <t>งานท่อคอนกรีตเสริมเหล็กขนาด 0.80 ม.(ของเดิม)</t>
  </si>
  <si>
    <t>งานท่อคอนกรีตเสริมเหล็กขนาด 0.80 ม.(ของใหม่)</t>
  </si>
  <si>
    <t>ชื่อโครงการ     : ปรับปรุงซ่อมแซมแหล่งเก็บกักน้ำสาธารณะ  จำนวน    จุด</t>
  </si>
  <si>
    <t>งานดินขุดด้วยเครื่องจักร พร้อมปรับเกลี่ย</t>
  </si>
  <si>
    <t>จุดที่ 1 ขุดลอกร่องปั้ว</t>
  </si>
  <si>
    <t>งานดินขนทิ้ง</t>
  </si>
  <si>
    <t>จุดที่ 4 ปรับปรุงฝายนาหนองหล่ม 1 (นายอุไร สารถ้อย)</t>
  </si>
  <si>
    <t>จุดที่ 5 ปรับปรุงฝายนาหนองหล่ม 2 (นายประกอบ อินรัตน์)</t>
  </si>
  <si>
    <t>ที่</t>
  </si>
  <si>
    <t>จุดที่ 6 ปรับปรุงฝายห้วยแก้ว-ห้วยโสก</t>
  </si>
  <si>
    <t>จุดที่ 7 ปรับปรุงฝายห้วยจำม่วง</t>
  </si>
  <si>
    <t>จุดที่ 8 ปรับปรุงฝายห้วยโป่งยาง 1(นายสีวงษ์  สมยศ)</t>
  </si>
  <si>
    <t>จุดที่ 9 ปรับปรุงฝายห้วยโป่งยาง 2(นายวิเชียร เขียวปัญญา)</t>
  </si>
  <si>
    <t>ประเภทงานชลประทาน Factor F 1.3347</t>
  </si>
  <si>
    <t>จุดที่ 2 ปรับปรุงฝ่ายนาบอม 1</t>
  </si>
  <si>
    <t>จุดที่ 3 ปรับปรุงฝ่ายนาบอม 2</t>
  </si>
  <si>
    <t>จุดที่ 2 ปรับปรุงซ่อมแซมถนนข้ามลำห้วยโป่งยาง</t>
  </si>
  <si>
    <t>จุดที่ 1 ปรับปรุงซ่อมแซมถนนข้ามลำห้วยร่องปั้ว</t>
  </si>
  <si>
    <t>จุดที่ 3 ปรับปรุงซ่อมแซมถนนข้ามลำห้วยแก้ว2 (นาริน)</t>
  </si>
  <si>
    <t>จุดที่ 3 ปรับปรุงซ่อมแซมถนนข้ามลำห้วยแก้ว1(นาบอม)</t>
  </si>
  <si>
    <t>ชื่อโครงการ     : ปรับปรุงซ่อมแซมถนนข้ามลำห้วย จำนวน  2  จุด</t>
  </si>
  <si>
    <t>ประเภทงานสะพานและท่อเหลี่ยม Factor F 1.2750</t>
  </si>
  <si>
    <t xml:space="preserve"> -เงินล่วงหน้าจ่าย   15 %</t>
  </si>
  <si>
    <t xml:space="preserve"> -ดอกเบี้ยเงินกู้      6 %</t>
  </si>
  <si>
    <t xml:space="preserve">เฉลี่ยปริมาณงาน :  </t>
  </si>
  <si>
    <t>(นางระเบียบ   ไทยเอียด )</t>
  </si>
  <si>
    <t>ปลัดองค์การบริหารส่วนตำบล</t>
  </si>
  <si>
    <t>(นายโชตธนินทร์   เดโซวชิรสวัสดิ์ )</t>
  </si>
  <si>
    <t>นายกองค์การบริหารส่วนตำบล</t>
  </si>
  <si>
    <t>ลงชื่อ                                      ตรวจสอบ/เห็นชอบ</t>
  </si>
  <si>
    <t>ลงชื่อ                                                       อนุมัติ</t>
  </si>
  <si>
    <t>จำนวน           แผ่น</t>
  </si>
  <si>
    <t>งานขุดลอก</t>
  </si>
  <si>
    <t>จุดที่ 1 ขุดลอกห้วยจำม่วง</t>
  </si>
  <si>
    <t>จุดที่ 2 ปรับปรุงซ่อมแซมฝายห้วยจำม่วง</t>
  </si>
  <si>
    <t>จุดที่ 4 ปรับปรุงซ่อมแซมฝายห้วยแก้ว(ปรีชา ป้องแก้ว)</t>
  </si>
  <si>
    <t>งานท่อคอนกรีตเสริมเหล็กขนาด 0.40 ม.</t>
  </si>
  <si>
    <t>จุดที่ 3 ปรับปรุงซ่อมแซมถนน(น้ำปั้ว)</t>
  </si>
  <si>
    <t>จุดที่ 3 ปรับปรุงซ่อมแซมฝายห้วยแก้ว(ธนกิจ แสนอาทิตย์)</t>
  </si>
  <si>
    <t>ชื่อโครงการ     : ปรับปรุงซ่อมแซมแหล่งเก็บกักน้ำสาธารณะ  จำนวน 4  จุด</t>
  </si>
  <si>
    <t>ประมาณการ   : วันที่  6   เดือน กุมภาพันธ์  พ.ศ.2559</t>
  </si>
  <si>
    <t>หน่วยงานเจ้าของโครงการ  :  องค์การบริหารส่วนตำบลน้ำปั้ว</t>
  </si>
  <si>
    <t>กลุ่มงาน          :  กองช่าง  องค์การบริหารส่วนตำบลน้ำปั้ว</t>
  </si>
  <si>
    <t>สถานที่ก่อสร้าง : บ้านน้ำปั้ว หมู่ที่ 4 ตำบลน้ำปั้ว  อำเภอเวียงสา  จังหวัดน่าน</t>
  </si>
  <si>
    <t xml:space="preserve">รายละเอียดแบบ :องค์การบริหารส่วนตำบลน้ำปั้ว  เลขที่   </t>
  </si>
  <si>
    <t>งานอาคารโรงผลิตน้ำดื่ม</t>
  </si>
  <si>
    <t>งานโครงสร้างอาคาร</t>
  </si>
  <si>
    <t xml:space="preserve"> - งานวางผัง</t>
  </si>
  <si>
    <t xml:space="preserve"> - งานดินขุดพร้อมถมกลับ</t>
  </si>
  <si>
    <t xml:space="preserve"> - งานดินถม</t>
  </si>
  <si>
    <t xml:space="preserve"> - ทรายรองพื้น</t>
  </si>
  <si>
    <t xml:space="preserve"> - คอนกรีตโครงสร้าง 1:2:4</t>
  </si>
  <si>
    <t xml:space="preserve"> - งานเหล็กเสริมคอนกรีต</t>
  </si>
  <si>
    <t xml:space="preserve">          - เหล็ก  DB  12 มม.</t>
  </si>
  <si>
    <t>ตัน</t>
  </si>
  <si>
    <t xml:space="preserve">          - เหล็ก  RB   6 มม.</t>
  </si>
  <si>
    <t xml:space="preserve"> - ลวดผูกเหล็ก</t>
  </si>
  <si>
    <t>งานไม้แบบ</t>
  </si>
  <si>
    <t xml:space="preserve"> - ไม้แบบใช้ได้ 3 ครั้ง</t>
  </si>
  <si>
    <t>งานโครงสร้างหลังคา</t>
  </si>
  <si>
    <t xml:space="preserve"> - หลังคาแผ่นเหล็กรีดลอนหนา 0.28 มม.</t>
  </si>
  <si>
    <t xml:space="preserve"> - ครอบสัน</t>
  </si>
  <si>
    <t xml:space="preserve"> - ครอบข้าง</t>
  </si>
  <si>
    <t xml:space="preserve"> - เหล็ก  [  -75 × 45 × 15 × 2.3 มม.  </t>
  </si>
  <si>
    <t xml:space="preserve"> - เหล็ก  [  -100 × 50 × 20 × 2.3 มม.  </t>
  </si>
  <si>
    <t xml:space="preserve"> - เหล็ก  []-50×50x1.8 มม.</t>
  </si>
  <si>
    <t xml:space="preserve"> -สีกันสนิม</t>
  </si>
  <si>
    <t xml:space="preserve"> - แผ่นเหล็ก 0.15x0.15x.006 ม.</t>
  </si>
  <si>
    <t>แผ่น</t>
  </si>
  <si>
    <t xml:space="preserve"> - ค่าแรงงานเชื่อมประกอบโครงสร้างหลังคา</t>
  </si>
  <si>
    <t>งานผิวพื้น</t>
  </si>
  <si>
    <t xml:space="preserve"> - พื้นผิวขัดมัน</t>
  </si>
  <si>
    <t>งานผนัง</t>
  </si>
  <si>
    <t xml:space="preserve"> -  ผนังก่อบล๊อค</t>
  </si>
  <si>
    <t xml:space="preserve"> - ฉาบปูนเรียบ</t>
  </si>
  <si>
    <t>งานสีและตกแต่ง</t>
  </si>
  <si>
    <t xml:space="preserve"> -ทาสีน้ำพลาสติก</t>
  </si>
  <si>
    <t>งานประตู + หน้าต่าง</t>
  </si>
  <si>
    <t xml:space="preserve"> - ป.-1</t>
  </si>
  <si>
    <t>ชุด</t>
  </si>
  <si>
    <t xml:space="preserve"> - ป.-2</t>
  </si>
  <si>
    <t xml:space="preserve"> - น.-1</t>
  </si>
  <si>
    <t xml:space="preserve"> งานระบบไฟฟ้า  </t>
  </si>
  <si>
    <t xml:space="preserve">  - สวิท์ต</t>
  </si>
  <si>
    <t xml:space="preserve">  - ปลั๊ก</t>
  </si>
  <si>
    <t xml:space="preserve">  - ตู้ควบคุม ขนาด 4  ช่อง</t>
  </si>
  <si>
    <t xml:space="preserve">  - สายส่งกำลัง THW  ขนาด 1x16 ตร.มม.</t>
  </si>
  <si>
    <t xml:space="preserve">  - มิเตอร์ไฟฟ้า ขนาด 5 แอมป์</t>
  </si>
  <si>
    <t>งานท่อประปาสุขาภิบาล</t>
  </si>
  <si>
    <t xml:space="preserve">  - มาตรวัดปริมาณน้ำ 1/2นิ้ว</t>
  </si>
  <si>
    <t xml:space="preserve">  - ท่อ พีวีซี ขนาด 2 นิ้ว ชั้น 8.5 รวมข้อต่อ</t>
  </si>
  <si>
    <t xml:space="preserve">  - สามทาง ขนาด 2 นิ้ว </t>
  </si>
  <si>
    <t>อัน</t>
  </si>
  <si>
    <t xml:space="preserve">  - ข้องอ 90 องศา ขนาด 2 นิ้ว</t>
  </si>
  <si>
    <t xml:space="preserve">  - ท่อพีวีซี ขนาด 1 นิ้ว ชั้น 8.5 รวมข้อต่อ</t>
  </si>
  <si>
    <t xml:space="preserve">  - ข้องอ 90 องศา ขนาด 1 นิ้ว</t>
  </si>
  <si>
    <t xml:space="preserve">  - ฟุตวาล์วทองเหลือง ขนาด 1 นิ้ว</t>
  </si>
  <si>
    <t xml:space="preserve">  - ค่าแรงประกอบติดตั้ง คิด 30 % ราคาวัสดุ</t>
  </si>
  <si>
    <t>เหมา</t>
  </si>
  <si>
    <t xml:space="preserve">ระบบกรองน้ำ ขนาดกำลังการผลิตไม่น้อยกว่า </t>
  </si>
  <si>
    <t>250 ลิตร/ชม.</t>
  </si>
  <si>
    <t xml:space="preserve">  - เครื่องกรองสนิมเหล็ก        สแตนเลส</t>
  </si>
  <si>
    <t xml:space="preserve">  - เครื่องกรองกลิ่น/สี/ตะกอน สแตนเลส</t>
  </si>
  <si>
    <t xml:space="preserve">  - เครื่องกรองความกระด้าง    สแตนเลส</t>
  </si>
  <si>
    <t xml:space="preserve">  - ปั๊มน้ำ ขนาดไม่น้อยกว่า 150 วัตน์</t>
  </si>
  <si>
    <t>ใบ</t>
  </si>
  <si>
    <t xml:space="preserve">  - ตู้หลอดเหรียญแบบติดผนัง</t>
  </si>
  <si>
    <t xml:space="preserve">  - ค่าแรงประกอบติดตั้ง</t>
  </si>
  <si>
    <t>สรุปงานตลอดโครงการ</t>
  </si>
  <si>
    <t>วัสดุ+ค่าแรง</t>
  </si>
  <si>
    <t>รวมเงิน(บาท)</t>
  </si>
  <si>
    <t>ประเภทงานอาคาร(หัวข้อที่  1)</t>
  </si>
  <si>
    <t>ประเภทงานไม่พิจารณาปรับราคา(หัวข้อที่  2)</t>
  </si>
  <si>
    <t xml:space="preserve">  - เครื่องกรองระบบ RO กำลังผลิต 250ลิตร/ชม.</t>
  </si>
  <si>
    <t xml:space="preserve">  - เครื่องฆ่าเชื้อด้วยรังสีอุลตร้าไวโอเลสขนาด 30 วัตต์</t>
  </si>
  <si>
    <t>ลงชื่อ                                 ประมาณการ</t>
  </si>
  <si>
    <t>ประมาณราคา   : วันที่  6   เดือน กุมภาพันธ์ พ.ศ.2560</t>
  </si>
  <si>
    <t>ประเภทงานอาคาร</t>
  </si>
  <si>
    <t xml:space="preserve"> -Factot F 1.3046</t>
  </si>
  <si>
    <t>ประเภทงานคุรุภัณฑ์</t>
  </si>
  <si>
    <t xml:space="preserve"> -Factot F 1.000</t>
  </si>
  <si>
    <t>ประเทงานอาคาร</t>
  </si>
  <si>
    <t>แผ่นที่ 4/4</t>
  </si>
  <si>
    <t>แผ่นที่ 3/4</t>
  </si>
  <si>
    <t>แผ่นที่ 2/4</t>
  </si>
  <si>
    <t>แผ่นที่ 1/4</t>
  </si>
  <si>
    <t xml:space="preserve">  - แทงค์สแตนเลส ขนาด 2000 ลิตร</t>
  </si>
  <si>
    <t xml:space="preserve">  - เครื่องกรองตะกอน ไม่เกิน 20 ไมครอน</t>
  </si>
  <si>
    <t>ก่อสร้าง  45 วัน</t>
  </si>
  <si>
    <t>ประมาณการ   : วันที่  6   เดือน กุมภาพันธ์  พ.ศ.2560</t>
  </si>
  <si>
    <t>ชื่อโครงการ      : ก่อสร้างอาคารพร้อมระบบผลิตน้ำดื่มกำลังการผลิต ขนาด 250 ลิตร/ชั่วโมง</t>
  </si>
  <si>
    <t xml:space="preserve">  - โคมไฟฟูออเรสเซนต์ 1x36 w  </t>
  </si>
  <si>
    <t>รวมราคาค่าก่อสร้าง</t>
  </si>
  <si>
    <t>ปรับราคาหมาะสม</t>
  </si>
  <si>
    <t>บัญชีสรุปราคางานก่อสร้าง</t>
  </si>
  <si>
    <t xml:space="preserve">ชื่อโครงการ     : ก่อสร้างราวกันตก บ้านจูน หมู่ที่ 4 </t>
  </si>
  <si>
    <t>สถานที่ก่อสร้าง : บ้านจูน  หมู่ที่ 4 ตำบลป่ากลาง  อำเภอปัว จังหวัดน่าน</t>
  </si>
  <si>
    <t>หน่วยงานเจ้าของโครงการ  :  กองช่าง องค์การบริการส่วนตำบลป่ากลางอำเภอปัว  จังหวัดน่าน</t>
  </si>
  <si>
    <t>จุดที่ 1 บริเวณสระรถไถ</t>
  </si>
  <si>
    <t xml:space="preserve">   -เสาเหล็กชุบสังกะสี </t>
  </si>
  <si>
    <t xml:space="preserve">   -GUARD RAIL ยาวไม่น้อยกว่า 4.00 ม.</t>
  </si>
  <si>
    <t xml:space="preserve">   -แผ่นปิดปลาย</t>
  </si>
  <si>
    <t xml:space="preserve">   -แผ่นประกับเฉียง</t>
  </si>
  <si>
    <t xml:space="preserve">   -สลักเกลียว(BOLT&amp;NUT) พร้อมแหวนรอง(สั้น)</t>
  </si>
  <si>
    <t xml:space="preserve">   -สลักเกลียว(BOLT&amp;NUT) พร้อมแหวนรอง(ยาว)</t>
  </si>
  <si>
    <t>ต้น</t>
  </si>
  <si>
    <t xml:space="preserve">   -ค่าแรงติดตั้ง</t>
  </si>
  <si>
    <t>จุดที่ 1 บริเวณสระครู</t>
  </si>
  <si>
    <t xml:space="preserve">   -เครื่องหมายนำทาง( 2 หน้าแบบสีเหลี่ยมคางหมู)</t>
  </si>
  <si>
    <t xml:space="preserve">   -แผ่นสติกเกอร์สะท้อนขนาด 5x10 ซม.</t>
  </si>
  <si>
    <t>จุด</t>
  </si>
  <si>
    <t>ประเภทงานทาง</t>
  </si>
  <si>
    <t>FN</t>
  </si>
  <si>
    <t>ค่าแรง</t>
  </si>
  <si>
    <t>รวมเงิน</t>
  </si>
  <si>
    <t>รวมค่างานก่อสร้าง</t>
  </si>
  <si>
    <t xml:space="preserve">   -คอนกรีต 1:3:5</t>
  </si>
  <si>
    <t xml:space="preserve">   -ดินขุดปรับเกลี่ย</t>
  </si>
  <si>
    <t xml:space="preserve">   -เครื่องหมายนำทาง(แบบสีเหลี่ยมคางหมู)</t>
  </si>
  <si>
    <t>ประมาณราคา   : วันที่   10  เดือน กรกฎาคม  พ.ศ.2561</t>
  </si>
  <si>
    <t xml:space="preserve"> -Factot F 1.3592</t>
  </si>
  <si>
    <t>เมตรละ 1,491.93 บาท</t>
  </si>
  <si>
    <t>(นายสุรเดช   พรมมีเดช)</t>
  </si>
  <si>
    <t>นายช่างโยธาชำนาญงาน</t>
  </si>
  <si>
    <t>(นายผจญ   ทิปกะ)</t>
  </si>
  <si>
    <t>(นายประกอบ   แสนทรงสิริ )</t>
  </si>
  <si>
    <t>ลงชื่อ                                        เห็นชอบ</t>
  </si>
  <si>
    <t>ลงชื่อ                                          อนุมัติ</t>
  </si>
  <si>
    <t>2/2</t>
  </si>
  <si>
    <t>1/2</t>
  </si>
  <si>
    <t xml:space="preserve">ปริมาณงาน : ก่อสร้างราวกันตก จำนวน 2 จุด ความยาวรวม 248 เมตร </t>
  </si>
  <si>
    <t xml:space="preserve">ชื่อโครงการ     : ก่อสร้างราวกันตกถนน บ้านจูน หมู่ที่ 4 </t>
  </si>
  <si>
    <t>จำนวน   4    แผ่น</t>
  </si>
  <si>
    <t>ประมาณราคา   : วันที่ 10  เดือน กรกฎาคม  พ.ศ.2561</t>
  </si>
  <si>
    <t xml:space="preserve">                ลงชื่อ                                      ประมาณการ/ตรวจสอบ</t>
  </si>
  <si>
    <t xml:space="preserve">รายละเอียดแบบ :แบบองค์การบริหารส่วนตำบลป่ากลาง  เลขที่   04/2562 </t>
  </si>
  <si>
    <t>รายละเอียดแบบ :แบบองค์การบริหารส่วนตำบลป่ากลาง  เลขที่   04/2562</t>
  </si>
  <si>
    <t>ประเภทงานชลประทาน</t>
  </si>
  <si>
    <t>ประเภทงานสะพานและท่อเหลี่ยม</t>
  </si>
  <si>
    <t xml:space="preserve"> -Factot F:</t>
  </si>
  <si>
    <t>แบบ ปร.5(ก)</t>
  </si>
  <si>
    <t>ท่อเหลี่ยม</t>
  </si>
  <si>
    <t>ประเภทงานสะพานและ</t>
  </si>
  <si>
    <t xml:space="preserve"> Factot F:</t>
  </si>
  <si>
    <t>ค่าแรงต่อหน่วย</t>
  </si>
  <si>
    <t>รวมค่าแรง</t>
  </si>
  <si>
    <t>ต่อหน่วย</t>
  </si>
  <si>
    <t>งานอื่นๆ</t>
  </si>
  <si>
    <t>ค่าวัสดุรวมค่าแรง</t>
  </si>
  <si>
    <t>หน่วยงานเจ้าของโครงการ  :  กองช่าง องค์การบริการส่วนตำบลป่ากลาง   อำเภอปัว  จังหวัดน่าน</t>
  </si>
  <si>
    <t>งานก่อสร้างรางระบายน้ำ</t>
  </si>
  <si>
    <t xml:space="preserve">งานดิน </t>
  </si>
  <si>
    <t xml:space="preserve">   -ดินขุด </t>
  </si>
  <si>
    <t>งานวัสดุรองพื้น</t>
  </si>
  <si>
    <t xml:space="preserve">   -ทรายหยาบรองพื้น</t>
  </si>
  <si>
    <t>งานคอนกรีต</t>
  </si>
  <si>
    <t xml:space="preserve">   -คอนกรีตผสมเสร็จรูปลูกบาศก์ 240 กก./ตร.ม.</t>
  </si>
  <si>
    <t>แบบหล่อคอนกรีต</t>
  </si>
  <si>
    <t>ลบ.ฟ.</t>
  </si>
  <si>
    <t xml:space="preserve">   -เหล็ก RB Ø 9  มม. </t>
  </si>
  <si>
    <t xml:space="preserve">   -ลวดผูกเหล็ก</t>
  </si>
  <si>
    <t>เหล็กฝารางและบ่ารับ</t>
  </si>
  <si>
    <t xml:space="preserve">   -เหล็กฉากขนาด 50x50x4 mm.</t>
  </si>
  <si>
    <t xml:space="preserve">   -เหล็กแบนขนาด 2"x6  mm.</t>
  </si>
  <si>
    <t>ปริมาณงาน      :   ก่อสร้างรางระบายน้ำขนาดกว้าง 0.40 เมตร  ลึก 0.35 เมตร  ยาว  55.50  เมตร  พร้อมผาปิดตะแกรงเหล็ก</t>
  </si>
  <si>
    <t>ชื่อโครงการ      : ก่อสร้างรางระบายน้ำ  บ้านป่ากลาง  หมู่ที่ 7 ( บริเวณบ้านผู้ช่วยวิชาญถึงบ้านอาจารย์พนม )</t>
  </si>
  <si>
    <t>สถานที่ก่อสร้าง : บ้านป่ากลาง  หมู่ที่ 7 ตำบลป่ากลาง  อำเภอปัว จังหวัดน่าน</t>
  </si>
  <si>
    <t>Class of Concrete</t>
  </si>
  <si>
    <t>ค 4</t>
  </si>
  <si>
    <t>ค 3</t>
  </si>
  <si>
    <t>ค 2</t>
  </si>
  <si>
    <t>ค 1</t>
  </si>
  <si>
    <t>Lean  1:3:5</t>
  </si>
  <si>
    <t>ส่วนผสมคอนกรีต</t>
  </si>
  <si>
    <t>400:524:728</t>
  </si>
  <si>
    <t>350:572:736</t>
  </si>
  <si>
    <t>320:596:764</t>
  </si>
  <si>
    <t>290:620:725</t>
  </si>
  <si>
    <t>240:520:870</t>
  </si>
  <si>
    <t xml:space="preserve">   1. ซีเมนต์</t>
  </si>
  <si>
    <t>x</t>
  </si>
  <si>
    <t xml:space="preserve">   2. ทราย</t>
  </si>
  <si>
    <t xml:space="preserve">   3. หิน</t>
  </si>
  <si>
    <t xml:space="preserve">   4. ค่าแรงผสม - เท</t>
  </si>
  <si>
    <t>แบบสรุปข้อมูลวัสดุและค่าดำเนินการ</t>
  </si>
  <si>
    <t>ลำดับ</t>
  </si>
  <si>
    <t>ค่า</t>
  </si>
  <si>
    <t>ระยะ</t>
  </si>
  <si>
    <t>ค่าขน</t>
  </si>
  <si>
    <t>ค่าตัด/</t>
  </si>
  <si>
    <t xml:space="preserve">ที่ </t>
  </si>
  <si>
    <t>วัสดุ</t>
  </si>
  <si>
    <t>ขนส่ง</t>
  </si>
  <si>
    <t>ขึ้นลง</t>
  </si>
  <si>
    <t>ดัดเหล็ก</t>
  </si>
  <si>
    <t>(กม.)</t>
  </si>
  <si>
    <t>คอนกรีตผสมเสร็จรูปลูกบาศก์ 240 กก./ตร.ซม.</t>
  </si>
  <si>
    <t>บ/ลบ.ม.</t>
  </si>
  <si>
    <t>พาณิชย์ ฯ น่าน ข้อ3</t>
  </si>
  <si>
    <t>เหล็ก RB Ø 6 มม.</t>
  </si>
  <si>
    <t>บ/ตัน</t>
  </si>
  <si>
    <t>พาณิชย์ ฯ น่าน ข้อ19</t>
  </si>
  <si>
    <t>เหล็ก RB Ø 9 มม.</t>
  </si>
  <si>
    <t>พาณิชย์ ฯ น่าน ข้อ20</t>
  </si>
  <si>
    <t>เหล็ก RB Ø 19 มม.</t>
  </si>
  <si>
    <t>-</t>
  </si>
  <si>
    <t>เหล็ก DB Ø 16 มม.</t>
  </si>
  <si>
    <t xml:space="preserve">ลวดผูกเหล็ก </t>
  </si>
  <si>
    <t>บ/กก.</t>
  </si>
  <si>
    <t xml:space="preserve">ปูนซีเมนต์ปอร์ตแลนด์   </t>
  </si>
  <si>
    <t>ทรายหยาบ</t>
  </si>
  <si>
    <t>หินผสมคอนกรีต</t>
  </si>
  <si>
    <t>ทรายถม</t>
  </si>
  <si>
    <t>ดินถมไหล่ทาง</t>
  </si>
  <si>
    <t>ท่อ คสล. ขนาด Ø 0.30  ม.</t>
  </si>
  <si>
    <t>ไม้กระบากไม่ไส  1"x6"</t>
  </si>
  <si>
    <t>ไม้ยางไม่ไส 1 1/2"x3"</t>
  </si>
  <si>
    <t>ไม้ขนาดø 4"x4.00  ม.</t>
  </si>
  <si>
    <t>ตะปูตอกไม้ชนิดผอม  ขนาด 3 นิ้ว</t>
  </si>
  <si>
    <t>สืบ</t>
  </si>
  <si>
    <t xml:space="preserve">Joint  Filler  </t>
  </si>
  <si>
    <t xml:space="preserve">Joint  Sealer  </t>
  </si>
  <si>
    <t>ลิตร</t>
  </si>
  <si>
    <t>แผ่นพลาสติก</t>
  </si>
  <si>
    <t>เมตร</t>
  </si>
  <si>
    <t>วัสดุมวลรวมต่อหน่วย</t>
  </si>
  <si>
    <t>ข้อมูลงานคอนกรีต  Class  ต่างๆ  ตามมาตรฐานกรมทางหลวงชนบท (กรณีทรายและหินมีหน่วยเป็นปริมาตร)</t>
  </si>
  <si>
    <t>พาณิชย์ ฯ น่าน ข้อ29</t>
  </si>
  <si>
    <t>พาณิชย์ ฯ น่าน ข้อ162</t>
  </si>
  <si>
    <t>งานทรายรองใต้ผิวทางคอนกรีต</t>
  </si>
  <si>
    <t>ค่าวัสดุจากแหล่งรวมค่าตัก</t>
  </si>
  <si>
    <t>=</t>
  </si>
  <si>
    <t xml:space="preserve">บาท/ลบ.ม. </t>
  </si>
  <si>
    <t xml:space="preserve">ค่าขนส่ง   </t>
  </si>
  <si>
    <t>กม.</t>
  </si>
  <si>
    <t>... รวมค่าวัสดุที่หน้างาน</t>
  </si>
  <si>
    <t>บาท/ลบ.ม.</t>
  </si>
  <si>
    <t xml:space="preserve">ค่าดำเนินการและค่าเสื่อมบดอัด  </t>
  </si>
  <si>
    <t xml:space="preserve">... รวมค่างานต้นทุน </t>
  </si>
  <si>
    <t>ค่างานต้นทุนที่ใช้</t>
  </si>
  <si>
    <t xml:space="preserve">ส่วนยุบตัว  </t>
  </si>
  <si>
    <t>1.25 x</t>
  </si>
  <si>
    <t xml:space="preserve"> =</t>
  </si>
  <si>
    <t>เหล็กแบน ขนาด 2 นิ้ว x 6 มม.</t>
  </si>
  <si>
    <t>แผ่นเหล็ก ขนาด 9 มม. X 10 ซม.</t>
  </si>
  <si>
    <t>เหล็กฉาก ขนาด 50x50x4 มม.</t>
  </si>
  <si>
    <t>เมตรละ - บาท</t>
  </si>
  <si>
    <t>( นายชัยเดช  อภิวัฒน์สกุล )</t>
  </si>
  <si>
    <t>รองนายก อบต.ป่ากลาง</t>
  </si>
  <si>
    <t>( นายจิรวรรธ  ทรงเจริญกุล )</t>
  </si>
  <si>
    <t>เลขานุการนายก อบต.ป่ากลาง</t>
  </si>
  <si>
    <t>( นายผจญ  ทิปกะ )</t>
  </si>
  <si>
    <t>ปลัด อบต.ป่ากลาง</t>
  </si>
  <si>
    <t>( นายสุภาพ  ปัญญา )</t>
  </si>
  <si>
    <t>รองปลัด อบต.ป่ากลาง</t>
  </si>
  <si>
    <t>( นางสุพรรณี  กันทะวงศ์ )</t>
  </si>
  <si>
    <t>หัวหน้าสำนักปลัด</t>
  </si>
  <si>
    <t>( นายมนู  แสนคำแพ )</t>
  </si>
  <si>
    <t>นิติกร</t>
  </si>
  <si>
    <t>( นายอดิเรก  สุขลำใย )</t>
  </si>
  <si>
    <t>นักวิเคราะห์นโยบายและแผนฯ</t>
  </si>
  <si>
    <t>( นายทวีศักดิ์  กิตติยังกุล )</t>
  </si>
  <si>
    <t>เจ้าพนักงานป้องกันฯ</t>
  </si>
  <si>
    <t>( นางสาวอุมาพร  ธนะวัง )</t>
  </si>
  <si>
    <t>นักจัดการงานทั่วไป</t>
  </si>
  <si>
    <t>( สิบเอกประกิต  การุณยรัต )</t>
  </si>
  <si>
    <t>เจ้าพนักงานธุรการ</t>
  </si>
  <si>
    <t>( นางรจนา  ชัญถาวร )</t>
  </si>
  <si>
    <t>ผู้อำนวยการกองคลัง</t>
  </si>
  <si>
    <t>( นายจตุรภูมิ  อิ่นแก้ว )</t>
  </si>
  <si>
    <t>นักวิชาการจัดเก็บรายได้</t>
  </si>
  <si>
    <t>( นางอังคณา  ชราชิต )</t>
  </si>
  <si>
    <t>เจ้าหน้าที่การเงินและบัญชี</t>
  </si>
  <si>
    <t>( นายณัฐวัตร  สว่างเมฆฤทธิ์ )</t>
  </si>
  <si>
    <t>ผู้อำนวยกองการศึกษา</t>
  </si>
  <si>
    <t>( นางเกษสุรินทร์  พอใจ )</t>
  </si>
  <si>
    <t>นักพัฒนาชุมชน</t>
  </si>
  <si>
    <t>( นายสุรเดช   พรมมีเดช )</t>
  </si>
  <si>
    <t>นายช่างโยธา</t>
  </si>
  <si>
    <t>ลงชื่อ........................................................ประธานกรรมการกำหนดราคากลาง</t>
  </si>
  <si>
    <t>( นายนัฏฐิชัย  ใจมั่น )</t>
  </si>
  <si>
    <t>ลงชื่อ...................................................กรรมการกำหนดราคากลาง</t>
  </si>
  <si>
    <t>ลงชื่อ...............................................กรรมการกำหนดราคากลาง</t>
  </si>
  <si>
    <t>( นายสุรพงษ์  ศิลป์ท้าว )</t>
  </si>
  <si>
    <t>ราคา</t>
  </si>
  <si>
    <t>ราคา/หน่วย</t>
  </si>
  <si>
    <t xml:space="preserve"> - ไม้กระบากขนาด 1" x 6"- 8" ยาว 2.50 - 6.00 เมตร</t>
  </si>
  <si>
    <t xml:space="preserve"> - ไม้ยางขนาด 1.1/2" x 3" ยาว 2.50 - 6.00 เมตร</t>
  </si>
  <si>
    <t xml:space="preserve"> - ไม้ค้ำยันไม้แบบ</t>
  </si>
  <si>
    <t xml:space="preserve"> -  ตะปู</t>
  </si>
  <si>
    <t xml:space="preserve"> -  น้ำมันทาผิวไม้</t>
  </si>
  <si>
    <t xml:space="preserve"> - ค่าแรงประกอบแบบ</t>
  </si>
  <si>
    <t>ราคาไม้แบบที่ใช้</t>
  </si>
  <si>
    <t>งานแบบหล่อคอนกรีต</t>
  </si>
  <si>
    <r>
      <t xml:space="preserve">  ไม้แบบงานอย่างง่ายหรือไม้แบบ(1) </t>
    </r>
    <r>
      <rPr>
        <sz val="16"/>
        <rFont val="TH SarabunPSK"/>
        <family val="2"/>
      </rPr>
      <t>ใช้ได้ 4 ครั้ง</t>
    </r>
  </si>
  <si>
    <t>ใช้งานได้ 4 ครั้ง</t>
  </si>
  <si>
    <t xml:space="preserve">   -แบบหล่อคอนกรีต</t>
  </si>
  <si>
    <t>พาณิชย์ ฯ น่าน ข้อ150</t>
  </si>
  <si>
    <t>พาณิชย์ ฯ น่าน ข้อ153</t>
  </si>
  <si>
    <t>พาณิชย์ ฯ น่าน ข้อ131</t>
  </si>
  <si>
    <t>พาณิชย์ ฯ น่าน ข้อ128</t>
  </si>
  <si>
    <t>พาณิชย์ ฯ น่าน ข้อ144</t>
  </si>
  <si>
    <t>กำหนดราคากลาง  : วันที่   11    ธันวาคม  พ.ศ.2561</t>
  </si>
  <si>
    <r>
      <t>รายละเอียดแบบ :แบบองค์การบริหารส่วนตำบลป่ากลาง  เลขที่   20/2561                 จำนวน   5</t>
    </r>
    <r>
      <rPr>
        <sz val="15"/>
        <color indexed="10"/>
        <rFont val="TH SarabunPSK"/>
        <family val="2"/>
      </rPr>
      <t xml:space="preserve"> </t>
    </r>
    <r>
      <rPr>
        <sz val="15"/>
        <rFont val="TH SarabunPSK"/>
        <family val="2"/>
      </rPr>
      <t xml:space="preserve">   แผ่น</t>
    </r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</si>
</sst>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#,##0.0"/>
    <numFmt numFmtId="201" formatCode="_-* #,##0.0_-;\-* #,##0.0_-;_-* &quot;-&quot;??_-;_-@_-"/>
    <numFmt numFmtId="202" formatCode="_-* #,##0_-;\-* #,##0_-;_-* &quot;-&quot;??_-;_-@_-"/>
    <numFmt numFmtId="203" formatCode="0.0"/>
    <numFmt numFmtId="204" formatCode="_-* #,##0.000_-;\-* #,##0.000_-;_-* &quot;-&quot;??_-;_-@_-"/>
    <numFmt numFmtId="205" formatCode="_-* #,##0.0000_-;\-* #,##0.0000_-;_-* &quot;-&quot;??_-;_-@_-"/>
    <numFmt numFmtId="206" formatCode="#,##0.000"/>
    <numFmt numFmtId="207" formatCode="#,##0.0000"/>
    <numFmt numFmtId="208" formatCode="0.0000"/>
    <numFmt numFmtId="209" formatCode="#,##0.00000"/>
    <numFmt numFmtId="210" formatCode="#,##0.000000"/>
    <numFmt numFmtId="211" formatCode="#,##0.0000000"/>
    <numFmt numFmtId="212" formatCode="#,##0.00000000"/>
    <numFmt numFmtId="213" formatCode="#,##0.000000000"/>
    <numFmt numFmtId="214" formatCode="#,##0.0000000000"/>
    <numFmt numFmtId="215" formatCode="0.00000"/>
    <numFmt numFmtId="216" formatCode="#,##0.00_ ;\-#,##0.00\ "/>
    <numFmt numFmtId="217" formatCode="_-* #,##0.0000_-;\-* #,##0.0000_-;_-* &quot;-&quot;????_-;_-@_-"/>
    <numFmt numFmtId="218" formatCode="_-* #,##0.000_-;\-* #,##0.000_-;_-* &quot;-&quot;???_-;_-@_-"/>
    <numFmt numFmtId="219" formatCode="_(* #,##0.000_);_(* \(#,##0.000\);_(* &quot;-&quot;??_);_(@_)"/>
  </numFmts>
  <fonts count="60">
    <font>
      <sz val="14"/>
      <name val="Cordia New"/>
      <family val="0"/>
    </font>
    <font>
      <sz val="16"/>
      <name val="AngsanaUPC"/>
      <family val="1"/>
    </font>
    <font>
      <sz val="14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9"/>
      <name val="Tahoma"/>
      <family val="2"/>
    </font>
    <font>
      <sz val="10"/>
      <name val="Arial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5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color indexed="8"/>
      <name val="AngsanaUPC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AngsanaUPC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FF"/>
      <name val="TH SarabunPSK"/>
      <family val="2"/>
    </font>
    <font>
      <b/>
      <sz val="8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43" fontId="5" fillId="0" borderId="10" xfId="33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3" fontId="5" fillId="0" borderId="10" xfId="33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43" fontId="5" fillId="0" borderId="0" xfId="33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3" fontId="5" fillId="0" borderId="0" xfId="33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43" fontId="5" fillId="0" borderId="16" xfId="33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43" fontId="5" fillId="0" borderId="17" xfId="33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43" fontId="5" fillId="0" borderId="11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18" xfId="0" applyNumberFormat="1" applyFont="1" applyBorder="1" applyAlignment="1">
      <alignment horizontal="right"/>
    </xf>
    <xf numFmtId="43" fontId="5" fillId="0" borderId="10" xfId="33" applyNumberFormat="1" applyFont="1" applyBorder="1" applyAlignment="1">
      <alignment horizontal="right"/>
    </xf>
    <xf numFmtId="43" fontId="5" fillId="0" borderId="10" xfId="0" applyNumberFormat="1" applyFont="1" applyBorder="1" applyAlignment="1">
      <alignment horizontal="right"/>
    </xf>
    <xf numFmtId="43" fontId="5" fillId="0" borderId="0" xfId="33" applyNumberFormat="1" applyFont="1" applyBorder="1" applyAlignment="1">
      <alignment horizontal="right"/>
    </xf>
    <xf numFmtId="43" fontId="5" fillId="0" borderId="0" xfId="0" applyNumberFormat="1" applyFont="1" applyAlignment="1">
      <alignment horizontal="right"/>
    </xf>
    <xf numFmtId="43" fontId="5" fillId="0" borderId="11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2" fontId="5" fillId="0" borderId="23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3" fontId="5" fillId="0" borderId="22" xfId="33" applyFont="1" applyBorder="1" applyAlignment="1">
      <alignment/>
    </xf>
    <xf numFmtId="208" fontId="5" fillId="0" borderId="26" xfId="0" applyNumberFormat="1" applyFont="1" applyBorder="1" applyAlignment="1">
      <alignment/>
    </xf>
    <xf numFmtId="208" fontId="5" fillId="0" borderId="22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3" fontId="5" fillId="0" borderId="15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3" fontId="5" fillId="0" borderId="17" xfId="33" applyFont="1" applyBorder="1" applyAlignment="1">
      <alignment horizontal="right"/>
    </xf>
    <xf numFmtId="43" fontId="5" fillId="0" borderId="0" xfId="33" applyFont="1" applyAlignment="1">
      <alignment horizontal="right"/>
    </xf>
    <xf numFmtId="43" fontId="5" fillId="0" borderId="16" xfId="33" applyFont="1" applyBorder="1" applyAlignment="1">
      <alignment horizontal="center"/>
    </xf>
    <xf numFmtId="43" fontId="5" fillId="0" borderId="11" xfId="33" applyFont="1" applyBorder="1" applyAlignment="1">
      <alignment horizontal="center"/>
    </xf>
    <xf numFmtId="43" fontId="5" fillId="0" borderId="11" xfId="33" applyFont="1" applyBorder="1" applyAlignment="1">
      <alignment horizontal="right"/>
    </xf>
    <xf numFmtId="43" fontId="5" fillId="0" borderId="18" xfId="33" applyFont="1" applyBorder="1" applyAlignment="1">
      <alignment horizontal="center"/>
    </xf>
    <xf numFmtId="43" fontId="5" fillId="0" borderId="18" xfId="33" applyFont="1" applyBorder="1" applyAlignment="1">
      <alignment horizontal="right"/>
    </xf>
    <xf numFmtId="43" fontId="5" fillId="0" borderId="0" xfId="33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43" fontId="54" fillId="0" borderId="0" xfId="33" applyFont="1" applyBorder="1" applyAlignment="1">
      <alignment horizontal="right"/>
    </xf>
    <xf numFmtId="43" fontId="54" fillId="0" borderId="0" xfId="33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3" fontId="5" fillId="33" borderId="10" xfId="33" applyFont="1" applyFill="1" applyBorder="1" applyAlignment="1">
      <alignment horizontal="right"/>
    </xf>
    <xf numFmtId="43" fontId="5" fillId="33" borderId="10" xfId="33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43" fontId="5" fillId="33" borderId="17" xfId="33" applyFont="1" applyFill="1" applyBorder="1" applyAlignment="1">
      <alignment horizontal="right" vertical="center"/>
    </xf>
    <xf numFmtId="43" fontId="5" fillId="33" borderId="17" xfId="33" applyFont="1" applyFill="1" applyBorder="1" applyAlignment="1">
      <alignment horizontal="center"/>
    </xf>
    <xf numFmtId="43" fontId="5" fillId="33" borderId="17" xfId="33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20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43" fontId="5" fillId="0" borderId="16" xfId="33" applyFont="1" applyFill="1" applyBorder="1" applyAlignment="1">
      <alignment horizontal="center"/>
    </xf>
    <xf numFmtId="43" fontId="5" fillId="0" borderId="11" xfId="33" applyFont="1" applyFill="1" applyBorder="1" applyAlignment="1">
      <alignment horizontal="center"/>
    </xf>
    <xf numFmtId="43" fontId="5" fillId="0" borderId="11" xfId="33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43" fontId="5" fillId="0" borderId="10" xfId="33" applyFont="1" applyFill="1" applyBorder="1" applyAlignment="1">
      <alignment horizontal="right"/>
    </xf>
    <xf numFmtId="43" fontId="5" fillId="0" borderId="10" xfId="33" applyFont="1" applyFill="1" applyBorder="1" applyAlignment="1">
      <alignment horizontal="center"/>
    </xf>
    <xf numFmtId="43" fontId="5" fillId="0" borderId="17" xfId="33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4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/>
    </xf>
    <xf numFmtId="43" fontId="54" fillId="0" borderId="0" xfId="33" applyFont="1" applyFill="1" applyBorder="1" applyAlignment="1">
      <alignment horizontal="right"/>
    </xf>
    <xf numFmtId="43" fontId="54" fillId="0" borderId="0" xfId="33" applyFont="1" applyFill="1" applyBorder="1" applyAlignment="1">
      <alignment horizontal="center"/>
    </xf>
    <xf numFmtId="0" fontId="54" fillId="0" borderId="0" xfId="0" applyFont="1" applyFill="1" applyAlignment="1">
      <alignment/>
    </xf>
    <xf numFmtId="43" fontId="5" fillId="0" borderId="0" xfId="33" applyFont="1" applyFill="1" applyAlignment="1">
      <alignment horizontal="right"/>
    </xf>
    <xf numFmtId="43" fontId="5" fillId="0" borderId="0" xfId="33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43" fontId="5" fillId="0" borderId="17" xfId="33" applyFont="1" applyFill="1" applyBorder="1" applyAlignment="1">
      <alignment horizontal="right" vertical="center"/>
    </xf>
    <xf numFmtId="43" fontId="5" fillId="0" borderId="17" xfId="33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43" fontId="54" fillId="0" borderId="10" xfId="33" applyFont="1" applyFill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2" fontId="5" fillId="0" borderId="17" xfId="33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3" fontId="5" fillId="0" borderId="17" xfId="33" applyNumberFormat="1" applyFont="1" applyBorder="1" applyAlignment="1">
      <alignment horizontal="right"/>
    </xf>
    <xf numFmtId="43" fontId="5" fillId="0" borderId="17" xfId="0" applyNumberFormat="1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49" fontId="5" fillId="0" borderId="17" xfId="0" applyNumberFormat="1" applyFont="1" applyBorder="1" applyAlignment="1">
      <alignment horizontal="right"/>
    </xf>
    <xf numFmtId="0" fontId="5" fillId="0" borderId="22" xfId="0" applyNumberFormat="1" applyFont="1" applyFill="1" applyBorder="1" applyAlignment="1">
      <alignment/>
    </xf>
    <xf numFmtId="49" fontId="5" fillId="0" borderId="17" xfId="0" applyNumberFormat="1" applyFont="1" applyBorder="1" applyAlignment="1">
      <alignment horizontal="center"/>
    </xf>
    <xf numFmtId="0" fontId="5" fillId="0" borderId="22" xfId="0" applyNumberFormat="1" applyFont="1" applyFill="1" applyBorder="1" applyAlignment="1">
      <alignment horizontal="left"/>
    </xf>
    <xf numFmtId="3" fontId="5" fillId="0" borderId="22" xfId="0" applyNumberFormat="1" applyFont="1" applyBorder="1" applyAlignment="1">
      <alignment horizontal="left"/>
    </xf>
    <xf numFmtId="199" fontId="5" fillId="0" borderId="17" xfId="33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left"/>
    </xf>
    <xf numFmtId="43" fontId="5" fillId="0" borderId="22" xfId="0" applyNumberFormat="1" applyFont="1" applyBorder="1" applyAlignment="1">
      <alignment/>
    </xf>
    <xf numFmtId="43" fontId="5" fillId="0" borderId="17" xfId="0" applyNumberFormat="1" applyFont="1" applyBorder="1" applyAlignment="1">
      <alignment horizontal="left"/>
    </xf>
    <xf numFmtId="2" fontId="6" fillId="0" borderId="17" xfId="33" applyNumberFormat="1" applyFont="1" applyBorder="1" applyAlignment="1">
      <alignment horizontal="right"/>
    </xf>
    <xf numFmtId="43" fontId="6" fillId="0" borderId="17" xfId="0" applyNumberFormat="1" applyFont="1" applyBorder="1" applyAlignment="1">
      <alignment horizontal="right"/>
    </xf>
    <xf numFmtId="43" fontId="6" fillId="0" borderId="18" xfId="33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43" fontId="7" fillId="0" borderId="17" xfId="0" applyNumberFormat="1" applyFont="1" applyBorder="1" applyAlignment="1">
      <alignment horizontal="left"/>
    </xf>
    <xf numFmtId="200" fontId="5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43" fontId="5" fillId="0" borderId="18" xfId="33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43" fontId="5" fillId="0" borderId="22" xfId="0" applyNumberFormat="1" applyFont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center"/>
    </xf>
    <xf numFmtId="43" fontId="6" fillId="0" borderId="22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 horizontal="right"/>
    </xf>
    <xf numFmtId="43" fontId="6" fillId="0" borderId="10" xfId="33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right"/>
    </xf>
    <xf numFmtId="2" fontId="5" fillId="0" borderId="22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/>
    </xf>
    <xf numFmtId="207" fontId="5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0" fontId="5" fillId="0" borderId="22" xfId="0" applyNumberFormat="1" applyFont="1" applyFill="1" applyBorder="1" applyAlignment="1">
      <alignment horizontal="right"/>
    </xf>
    <xf numFmtId="43" fontId="5" fillId="0" borderId="22" xfId="0" applyNumberFormat="1" applyFont="1" applyFill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207" fontId="5" fillId="0" borderId="22" xfId="0" applyNumberFormat="1" applyFont="1" applyBorder="1" applyAlignment="1">
      <alignment/>
    </xf>
    <xf numFmtId="43" fontId="6" fillId="0" borderId="29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30" xfId="0" applyFont="1" applyBorder="1" applyAlignment="1">
      <alignment/>
    </xf>
    <xf numFmtId="43" fontId="5" fillId="0" borderId="20" xfId="0" applyNumberFormat="1" applyFont="1" applyBorder="1" applyAlignment="1">
      <alignment horizontal="right"/>
    </xf>
    <xf numFmtId="43" fontId="5" fillId="0" borderId="20" xfId="0" applyNumberFormat="1" applyFont="1" applyBorder="1" applyAlignment="1">
      <alignment/>
    </xf>
    <xf numFmtId="49" fontId="5" fillId="0" borderId="30" xfId="0" applyNumberFormat="1" applyFont="1" applyBorder="1" applyAlignment="1">
      <alignment horizontal="center"/>
    </xf>
    <xf numFmtId="43" fontId="5" fillId="0" borderId="30" xfId="0" applyNumberFormat="1" applyFont="1" applyBorder="1" applyAlignment="1">
      <alignment horizontal="left"/>
    </xf>
    <xf numFmtId="2" fontId="5" fillId="0" borderId="30" xfId="33" applyNumberFormat="1" applyFont="1" applyBorder="1" applyAlignment="1">
      <alignment horizontal="right"/>
    </xf>
    <xf numFmtId="43" fontId="5" fillId="0" borderId="30" xfId="0" applyNumberFormat="1" applyFont="1" applyBorder="1" applyAlignment="1">
      <alignment horizontal="right"/>
    </xf>
    <xf numFmtId="43" fontId="5" fillId="0" borderId="30" xfId="33" applyNumberFormat="1" applyFont="1" applyBorder="1" applyAlignment="1">
      <alignment horizontal="right"/>
    </xf>
    <xf numFmtId="43" fontId="5" fillId="0" borderId="30" xfId="33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3" fontId="5" fillId="0" borderId="3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3" fontId="5" fillId="0" borderId="31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right"/>
    </xf>
    <xf numFmtId="43" fontId="5" fillId="0" borderId="11" xfId="0" applyNumberFormat="1" applyFont="1" applyBorder="1" applyAlignment="1">
      <alignment vertical="center"/>
    </xf>
    <xf numFmtId="43" fontId="5" fillId="0" borderId="33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3" fontId="5" fillId="0" borderId="34" xfId="33" applyFont="1" applyFill="1" applyBorder="1" applyAlignment="1">
      <alignment horizontal="center"/>
    </xf>
    <xf numFmtId="205" fontId="5" fillId="0" borderId="10" xfId="33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43" fontId="6" fillId="0" borderId="10" xfId="33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43" fontId="6" fillId="0" borderId="10" xfId="33" applyFont="1" applyFill="1" applyBorder="1" applyAlignment="1">
      <alignment horizontal="center"/>
    </xf>
    <xf numFmtId="43" fontId="5" fillId="0" borderId="18" xfId="33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43" fontId="5" fillId="0" borderId="29" xfId="33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3" fontId="5" fillId="0" borderId="40" xfId="0" applyNumberFormat="1" applyFont="1" applyBorder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49" fontId="5" fillId="0" borderId="35" xfId="0" applyNumberFormat="1" applyFont="1" applyFill="1" applyBorder="1" applyAlignment="1">
      <alignment/>
    </xf>
    <xf numFmtId="49" fontId="5" fillId="0" borderId="41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7" fillId="0" borderId="0" xfId="47" applyFont="1">
      <alignment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44" xfId="0" applyFont="1" applyBorder="1" applyAlignment="1">
      <alignment horizontal="left"/>
    </xf>
    <xf numFmtId="0" fontId="55" fillId="0" borderId="44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43" fontId="7" fillId="33" borderId="43" xfId="33" applyFont="1" applyFill="1" applyBorder="1" applyAlignment="1">
      <alignment horizontal="center"/>
    </xf>
    <xf numFmtId="43" fontId="55" fillId="0" borderId="43" xfId="33" applyFont="1" applyBorder="1" applyAlignment="1">
      <alignment/>
    </xf>
    <xf numFmtId="43" fontId="55" fillId="0" borderId="43" xfId="33" applyFont="1" applyBorder="1" applyAlignment="1">
      <alignment horizontal="center"/>
    </xf>
    <xf numFmtId="0" fontId="56" fillId="0" borderId="43" xfId="0" applyFont="1" applyBorder="1" applyAlignment="1">
      <alignment horizontal="left"/>
    </xf>
    <xf numFmtId="0" fontId="55" fillId="0" borderId="46" xfId="0" applyFont="1" applyBorder="1" applyAlignment="1">
      <alignment horizontal="center"/>
    </xf>
    <xf numFmtId="0" fontId="7" fillId="0" borderId="47" xfId="49" applyFont="1" applyBorder="1">
      <alignment/>
      <protection/>
    </xf>
    <xf numFmtId="0" fontId="55" fillId="0" borderId="47" xfId="0" applyFont="1" applyBorder="1" applyAlignment="1">
      <alignment/>
    </xf>
    <xf numFmtId="0" fontId="55" fillId="0" borderId="48" xfId="0" applyFont="1" applyBorder="1" applyAlignment="1">
      <alignment/>
    </xf>
    <xf numFmtId="43" fontId="7" fillId="33" borderId="46" xfId="33" applyFont="1" applyFill="1" applyBorder="1" applyAlignment="1">
      <alignment/>
    </xf>
    <xf numFmtId="43" fontId="55" fillId="0" borderId="46" xfId="33" applyFont="1" applyBorder="1" applyAlignment="1">
      <alignment/>
    </xf>
    <xf numFmtId="43" fontId="55" fillId="0" borderId="46" xfId="33" applyFont="1" applyBorder="1" applyAlignment="1">
      <alignment horizontal="center"/>
    </xf>
    <xf numFmtId="0" fontId="56" fillId="0" borderId="46" xfId="0" applyFont="1" applyBorder="1" applyAlignment="1">
      <alignment horizontal="left"/>
    </xf>
    <xf numFmtId="43" fontId="55" fillId="33" borderId="46" xfId="33" applyFont="1" applyFill="1" applyBorder="1" applyAlignment="1">
      <alignment/>
    </xf>
    <xf numFmtId="0" fontId="7" fillId="0" borderId="47" xfId="50" applyFont="1" applyBorder="1">
      <alignment/>
      <protection/>
    </xf>
    <xf numFmtId="43" fontId="7" fillId="33" borderId="46" xfId="33" applyFont="1" applyFill="1" applyBorder="1" applyAlignment="1">
      <alignment horizontal="right" vertical="center" indent="1"/>
    </xf>
    <xf numFmtId="0" fontId="7" fillId="0" borderId="47" xfId="51" applyFont="1" applyBorder="1">
      <alignment/>
      <protection/>
    </xf>
    <xf numFmtId="43" fontId="57" fillId="33" borderId="46" xfId="33" applyFont="1" applyFill="1" applyBorder="1" applyAlignment="1">
      <alignment/>
    </xf>
    <xf numFmtId="0" fontId="55" fillId="0" borderId="47" xfId="0" applyFont="1" applyBorder="1" applyAlignment="1">
      <alignment horizontal="left"/>
    </xf>
    <xf numFmtId="0" fontId="56" fillId="0" borderId="46" xfId="0" applyFont="1" applyBorder="1" applyAlignment="1">
      <alignment/>
    </xf>
    <xf numFmtId="0" fontId="7" fillId="0" borderId="47" xfId="0" applyFont="1" applyBorder="1" applyAlignment="1">
      <alignment/>
    </xf>
    <xf numFmtId="43" fontId="57" fillId="0" borderId="46" xfId="33" applyFont="1" applyFill="1" applyBorder="1" applyAlignment="1">
      <alignment/>
    </xf>
    <xf numFmtId="0" fontId="55" fillId="0" borderId="49" xfId="0" applyFont="1" applyBorder="1" applyAlignment="1">
      <alignment horizontal="center"/>
    </xf>
    <xf numFmtId="0" fontId="7" fillId="0" borderId="50" xfId="0" applyFont="1" applyBorder="1" applyAlignment="1">
      <alignment/>
    </xf>
    <xf numFmtId="0" fontId="55" fillId="0" borderId="51" xfId="0" applyFont="1" applyBorder="1" applyAlignment="1">
      <alignment/>
    </xf>
    <xf numFmtId="0" fontId="55" fillId="0" borderId="52" xfId="0" applyFont="1" applyBorder="1" applyAlignment="1">
      <alignment/>
    </xf>
    <xf numFmtId="0" fontId="55" fillId="0" borderId="49" xfId="0" applyFont="1" applyBorder="1" applyAlignment="1">
      <alignment/>
    </xf>
    <xf numFmtId="43" fontId="55" fillId="0" borderId="49" xfId="33" applyFont="1" applyBorder="1" applyAlignment="1">
      <alignment/>
    </xf>
    <xf numFmtId="2" fontId="7" fillId="0" borderId="0" xfId="0" applyNumberFormat="1" applyFont="1" applyBorder="1" applyAlignment="1">
      <alignment horizontal="left"/>
    </xf>
    <xf numFmtId="0" fontId="56" fillId="0" borderId="46" xfId="0" applyFont="1" applyBorder="1" applyAlignment="1">
      <alignment horizontal="center"/>
    </xf>
    <xf numFmtId="0" fontId="56" fillId="0" borderId="49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43" fontId="7" fillId="0" borderId="48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94" fontId="7" fillId="0" borderId="54" xfId="33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19" fontId="57" fillId="33" borderId="55" xfId="33" applyNumberFormat="1" applyFont="1" applyFill="1" applyBorder="1" applyAlignment="1" applyProtection="1">
      <alignment/>
      <protection hidden="1"/>
    </xf>
    <xf numFmtId="43" fontId="55" fillId="0" borderId="55" xfId="33" applyFont="1" applyBorder="1" applyAlignment="1">
      <alignment horizontal="right" indent="1"/>
    </xf>
    <xf numFmtId="219" fontId="7" fillId="0" borderId="54" xfId="33" applyNumberFormat="1" applyFont="1" applyFill="1" applyBorder="1" applyAlignment="1" applyProtection="1">
      <alignment/>
      <protection hidden="1"/>
    </xf>
    <xf numFmtId="194" fontId="7" fillId="0" borderId="54" xfId="33" applyNumberFormat="1" applyFont="1" applyBorder="1" applyAlignment="1" applyProtection="1">
      <alignment/>
      <protection hidden="1"/>
    </xf>
    <xf numFmtId="194" fontId="57" fillId="33" borderId="55" xfId="33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 quotePrefix="1">
      <alignment horizontal="left"/>
      <protection hidden="1"/>
    </xf>
    <xf numFmtId="43" fontId="55" fillId="0" borderId="13" xfId="33" applyFont="1" applyBorder="1" applyAlignment="1">
      <alignment horizontal="right" indent="1"/>
    </xf>
    <xf numFmtId="43" fontId="7" fillId="34" borderId="35" xfId="0" applyNumberFormat="1" applyFont="1" applyFill="1" applyBorder="1" applyAlignment="1">
      <alignment/>
    </xf>
    <xf numFmtId="219" fontId="7" fillId="0" borderId="0" xfId="33" applyNumberFormat="1" applyFont="1" applyFill="1" applyBorder="1" applyAlignment="1" applyProtection="1">
      <alignment/>
      <protection hidden="1"/>
    </xf>
    <xf numFmtId="43" fontId="7" fillId="33" borderId="56" xfId="33" applyFont="1" applyFill="1" applyBorder="1" applyAlignment="1" applyProtection="1">
      <alignment horizontal="center"/>
      <protection hidden="1"/>
    </xf>
    <xf numFmtId="2" fontId="7" fillId="0" borderId="10" xfId="33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10" fillId="0" borderId="0" xfId="0" applyFont="1" applyAlignment="1">
      <alignment/>
    </xf>
    <xf numFmtId="0" fontId="56" fillId="0" borderId="0" xfId="0" applyFont="1" applyAlignment="1">
      <alignment/>
    </xf>
    <xf numFmtId="43" fontId="56" fillId="0" borderId="0" xfId="33" applyFont="1" applyAlignment="1">
      <alignment/>
    </xf>
    <xf numFmtId="4" fontId="55" fillId="0" borderId="0" xfId="0" applyNumberFormat="1" applyFont="1" applyAlignment="1">
      <alignment/>
    </xf>
    <xf numFmtId="0" fontId="5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3" fontId="55" fillId="0" borderId="0" xfId="33" applyFont="1" applyBorder="1" applyAlignment="1">
      <alignment horizontal="center"/>
    </xf>
    <xf numFmtId="202" fontId="7" fillId="0" borderId="0" xfId="33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57" fillId="0" borderId="0" xfId="33" applyFont="1" applyBorder="1" applyAlignment="1">
      <alignment horizontal="center"/>
    </xf>
    <xf numFmtId="0" fontId="7" fillId="0" borderId="0" xfId="0" applyFont="1" applyBorder="1" applyAlignment="1">
      <alignment/>
    </xf>
    <xf numFmtId="194" fontId="7" fillId="0" borderId="0" xfId="33" applyNumberFormat="1" applyFont="1" applyBorder="1" applyAlignment="1">
      <alignment/>
    </xf>
    <xf numFmtId="43" fontId="7" fillId="0" borderId="0" xfId="33" applyFont="1" applyFill="1" applyBorder="1" applyAlignment="1">
      <alignment/>
    </xf>
    <xf numFmtId="194" fontId="7" fillId="0" borderId="0" xfId="33" applyNumberFormat="1" applyFont="1" applyBorder="1" applyAlignment="1">
      <alignment/>
    </xf>
    <xf numFmtId="43" fontId="58" fillId="0" borderId="0" xfId="33" applyFont="1" applyBorder="1" applyAlignment="1">
      <alignment horizontal="center"/>
    </xf>
    <xf numFmtId="43" fontId="55" fillId="0" borderId="0" xfId="33" applyFont="1" applyBorder="1" applyAlignment="1">
      <alignment horizontal="right" indent="1"/>
    </xf>
    <xf numFmtId="43" fontId="7" fillId="0" borderId="0" xfId="33" applyNumberFormat="1" applyFont="1" applyBorder="1" applyAlignment="1">
      <alignment/>
    </xf>
    <xf numFmtId="43" fontId="7" fillId="0" borderId="0" xfId="33" applyFont="1" applyBorder="1" applyAlignment="1">
      <alignment horizontal="center"/>
    </xf>
    <xf numFmtId="43" fontId="7" fillId="0" borderId="0" xfId="33" applyFont="1" applyBorder="1" applyAlignment="1">
      <alignment horizontal="right" indent="1"/>
    </xf>
    <xf numFmtId="194" fontId="7" fillId="33" borderId="0" xfId="33" applyNumberFormat="1" applyFont="1" applyFill="1" applyBorder="1" applyAlignment="1">
      <alignment/>
    </xf>
    <xf numFmtId="43" fontId="57" fillId="34" borderId="12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43" fontId="5" fillId="0" borderId="16" xfId="33" applyFont="1" applyFill="1" applyBorder="1" applyAlignment="1">
      <alignment horizontal="right" vertical="center"/>
    </xf>
    <xf numFmtId="43" fontId="5" fillId="0" borderId="11" xfId="33" applyFont="1" applyFill="1" applyBorder="1" applyAlignment="1">
      <alignment horizontal="right" vertical="center"/>
    </xf>
    <xf numFmtId="43" fontId="5" fillId="0" borderId="15" xfId="33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7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3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0" xfId="0" applyFont="1" applyBorder="1" applyAlignment="1">
      <alignment horizontal="right"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5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63" xfId="0" applyNumberFormat="1" applyFont="1" applyBorder="1" applyAlignment="1">
      <alignment horizontal="left"/>
    </xf>
    <xf numFmtId="2" fontId="5" fillId="0" borderId="64" xfId="0" applyNumberFormat="1" applyFont="1" applyBorder="1" applyAlignment="1">
      <alignment horizontal="left"/>
    </xf>
    <xf numFmtId="0" fontId="5" fillId="0" borderId="65" xfId="0" applyFont="1" applyBorder="1" applyAlignment="1">
      <alignment horizontal="right"/>
    </xf>
    <xf numFmtId="0" fontId="5" fillId="0" borderId="66" xfId="0" applyFont="1" applyBorder="1" applyAlignment="1">
      <alignment horizontal="right"/>
    </xf>
    <xf numFmtId="0" fontId="5" fillId="0" borderId="6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3" fontId="5" fillId="0" borderId="16" xfId="33" applyFont="1" applyBorder="1" applyAlignment="1">
      <alignment horizontal="right" vertical="center"/>
    </xf>
    <xf numFmtId="43" fontId="5" fillId="0" borderId="11" xfId="33" applyFont="1" applyBorder="1" applyAlignment="1">
      <alignment horizontal="right" vertical="center"/>
    </xf>
    <xf numFmtId="43" fontId="5" fillId="0" borderId="15" xfId="33" applyFont="1" applyBorder="1" applyAlignment="1">
      <alignment horizontal="center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2" fontId="5" fillId="0" borderId="32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3" fontId="5" fillId="0" borderId="17" xfId="33" applyFont="1" applyFill="1" applyBorder="1" applyAlignment="1">
      <alignment horizontal="right" vertical="center"/>
    </xf>
    <xf numFmtId="43" fontId="5" fillId="0" borderId="16" xfId="33" applyFont="1" applyFill="1" applyBorder="1" applyAlignment="1">
      <alignment horizontal="center" vertical="center"/>
    </xf>
    <xf numFmtId="43" fontId="5" fillId="0" borderId="11" xfId="33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/>
    </xf>
    <xf numFmtId="43" fontId="5" fillId="0" borderId="30" xfId="33" applyFont="1" applyFill="1" applyBorder="1" applyAlignment="1">
      <alignment horizontal="center"/>
    </xf>
    <xf numFmtId="43" fontId="5" fillId="0" borderId="29" xfId="33" applyFont="1" applyFill="1" applyBorder="1" applyAlignment="1">
      <alignment horizontal="center"/>
    </xf>
    <xf numFmtId="43" fontId="56" fillId="0" borderId="0" xfId="33" applyFont="1" applyAlignment="1">
      <alignment horizontal="center"/>
    </xf>
    <xf numFmtId="0" fontId="56" fillId="0" borderId="0" xfId="0" applyFont="1" applyAlignment="1">
      <alignment horizontal="center"/>
    </xf>
    <xf numFmtId="4" fontId="56" fillId="0" borderId="0" xfId="0" applyNumberFormat="1" applyFont="1" applyAlignment="1">
      <alignment horizontal="center"/>
    </xf>
    <xf numFmtId="2" fontId="5" fillId="0" borderId="68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left"/>
    </xf>
    <xf numFmtId="0" fontId="5" fillId="0" borderId="69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left"/>
    </xf>
    <xf numFmtId="0" fontId="5" fillId="0" borderId="72" xfId="0" applyFont="1" applyFill="1" applyBorder="1" applyAlignment="1">
      <alignment horizontal="left"/>
    </xf>
    <xf numFmtId="0" fontId="5" fillId="0" borderId="73" xfId="0" applyFont="1" applyFill="1" applyBorder="1" applyAlignment="1">
      <alignment horizontal="left"/>
    </xf>
    <xf numFmtId="0" fontId="54" fillId="0" borderId="72" xfId="0" applyFont="1" applyFill="1" applyBorder="1" applyAlignment="1">
      <alignment horizontal="left"/>
    </xf>
    <xf numFmtId="0" fontId="54" fillId="0" borderId="14" xfId="0" applyFont="1" applyFill="1" applyBorder="1" applyAlignment="1">
      <alignment horizontal="left"/>
    </xf>
    <xf numFmtId="0" fontId="54" fillId="0" borderId="73" xfId="0" applyFont="1" applyFill="1" applyBorder="1" applyAlignment="1">
      <alignment horizontal="left"/>
    </xf>
    <xf numFmtId="43" fontId="5" fillId="0" borderId="60" xfId="33" applyFont="1" applyFill="1" applyBorder="1" applyAlignment="1">
      <alignment horizontal="center"/>
    </xf>
    <xf numFmtId="43" fontId="5" fillId="0" borderId="62" xfId="33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79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80" xfId="0" applyFont="1" applyBorder="1" applyAlignment="1">
      <alignment horizontal="center"/>
    </xf>
    <xf numFmtId="2" fontId="7" fillId="0" borderId="13" xfId="0" applyNumberFormat="1" applyFont="1" applyBorder="1" applyAlignment="1">
      <alignment horizontal="lef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 5" xfId="47"/>
    <cellStyle name="ปกติ 4" xfId="48"/>
    <cellStyle name="ปกติ 6" xfId="49"/>
    <cellStyle name="ปกติ 8" xfId="50"/>
    <cellStyle name="ปกติ 9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8;&#3656;&#3634;&#3623;&#3633;&#3626;&#3604;&#3640;&#3617;&#3623;&#3621;&#3619;&#3623;&#3617;%20&#3617;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ดิบ"/>
      <sheetName val="สูตรวัสดุมวลรวม"/>
      <sheetName val="สำหรับประกอบทำราคากลาง"/>
      <sheetName val="Sheet1"/>
    </sheetNames>
    <sheetDataSet>
      <sheetData sheetId="0">
        <row r="19">
          <cell r="G19">
            <v>21454.71</v>
          </cell>
        </row>
        <row r="20">
          <cell r="G20">
            <v>20178.1</v>
          </cell>
        </row>
        <row r="24">
          <cell r="G24">
            <v>19205.02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="98" zoomScaleNormal="75" zoomScaleSheetLayoutView="98" zoomScalePageLayoutView="0" workbookViewId="0" topLeftCell="A73">
      <selection activeCell="B8" sqref="B8:B9"/>
    </sheetView>
  </sheetViews>
  <sheetFormatPr defaultColWidth="9.140625" defaultRowHeight="21.75"/>
  <cols>
    <col min="1" max="1" width="6.00390625" style="100" customWidth="1"/>
    <col min="2" max="2" width="46.28125" style="100" customWidth="1"/>
    <col min="3" max="3" width="9.28125" style="121" customWidth="1"/>
    <col min="4" max="4" width="8.28125" style="100" customWidth="1"/>
    <col min="5" max="6" width="12.140625" style="122" customWidth="1"/>
    <col min="7" max="7" width="12.140625" style="121" customWidth="1"/>
    <col min="8" max="8" width="12.421875" style="122" customWidth="1"/>
    <col min="9" max="9" width="15.28125" style="122" customWidth="1"/>
    <col min="10" max="10" width="19.7109375" style="100" customWidth="1"/>
    <col min="11" max="11" width="4.140625" style="100" hidden="1" customWidth="1"/>
    <col min="12" max="12" width="8.7109375" style="100" customWidth="1"/>
    <col min="13" max="16384" width="9.140625" style="100" customWidth="1"/>
  </cols>
  <sheetData>
    <row r="1" spans="1:10" ht="19.5">
      <c r="A1" s="345" t="s">
        <v>53</v>
      </c>
      <c r="B1" s="346"/>
      <c r="C1" s="346"/>
      <c r="D1" s="346"/>
      <c r="E1" s="346"/>
      <c r="F1" s="346"/>
      <c r="G1" s="346"/>
      <c r="H1" s="346"/>
      <c r="I1" s="346"/>
      <c r="J1" s="347"/>
    </row>
    <row r="2" spans="1:10" ht="19.5">
      <c r="A2" s="348" t="s">
        <v>113</v>
      </c>
      <c r="B2" s="349"/>
      <c r="C2" s="349"/>
      <c r="D2" s="349"/>
      <c r="E2" s="349"/>
      <c r="F2" s="349"/>
      <c r="G2" s="349"/>
      <c r="H2" s="349"/>
      <c r="I2" s="349"/>
      <c r="J2" s="101" t="s">
        <v>55</v>
      </c>
    </row>
    <row r="3" spans="1:10" ht="19.5">
      <c r="A3" s="350" t="s">
        <v>114</v>
      </c>
      <c r="B3" s="351"/>
      <c r="C3" s="351"/>
      <c r="D3" s="351"/>
      <c r="E3" s="351"/>
      <c r="F3" s="351"/>
      <c r="G3" s="351"/>
      <c r="H3" s="351"/>
      <c r="I3" s="351"/>
      <c r="J3" s="101" t="s">
        <v>97</v>
      </c>
    </row>
    <row r="4" spans="1:10" ht="19.5">
      <c r="A4" s="350" t="s">
        <v>134</v>
      </c>
      <c r="B4" s="351"/>
      <c r="C4" s="351"/>
      <c r="D4" s="351"/>
      <c r="E4" s="351"/>
      <c r="F4" s="351"/>
      <c r="G4" s="351"/>
      <c r="H4" s="351"/>
      <c r="I4" s="351"/>
      <c r="J4" s="102"/>
    </row>
    <row r="5" spans="1:10" ht="19.5">
      <c r="A5" s="350" t="s">
        <v>115</v>
      </c>
      <c r="B5" s="351"/>
      <c r="C5" s="351"/>
      <c r="D5" s="351"/>
      <c r="E5" s="351"/>
      <c r="F5" s="351"/>
      <c r="G5" s="351"/>
      <c r="H5" s="351"/>
      <c r="I5" s="351"/>
      <c r="J5" s="103"/>
    </row>
    <row r="6" spans="1:10" ht="19.5">
      <c r="A6" s="350" t="s">
        <v>112</v>
      </c>
      <c r="B6" s="351"/>
      <c r="C6" s="351"/>
      <c r="D6" s="351"/>
      <c r="E6" s="351"/>
      <c r="F6" s="351"/>
      <c r="G6" s="351"/>
      <c r="H6" s="351"/>
      <c r="I6" s="351"/>
      <c r="J6" s="103"/>
    </row>
    <row r="7" spans="1:10" ht="20.25" thickBot="1">
      <c r="A7" s="340" t="s">
        <v>116</v>
      </c>
      <c r="B7" s="341"/>
      <c r="C7" s="341"/>
      <c r="D7" s="341"/>
      <c r="E7" s="341"/>
      <c r="F7" s="341"/>
      <c r="G7" s="341"/>
      <c r="H7" s="341"/>
      <c r="I7" s="341"/>
      <c r="J7" s="104" t="s">
        <v>57</v>
      </c>
    </row>
    <row r="8" spans="1:10" ht="20.25" thickTop="1">
      <c r="A8" s="338" t="s">
        <v>140</v>
      </c>
      <c r="B8" s="338" t="s">
        <v>0</v>
      </c>
      <c r="C8" s="342" t="s">
        <v>1</v>
      </c>
      <c r="D8" s="338" t="s">
        <v>2</v>
      </c>
      <c r="E8" s="344" t="s">
        <v>58</v>
      </c>
      <c r="F8" s="344"/>
      <c r="G8" s="344" t="s">
        <v>59</v>
      </c>
      <c r="H8" s="344"/>
      <c r="I8" s="105" t="s">
        <v>25</v>
      </c>
      <c r="J8" s="338" t="s">
        <v>4</v>
      </c>
    </row>
    <row r="9" spans="1:10" ht="20.25" thickBot="1">
      <c r="A9" s="339"/>
      <c r="B9" s="339"/>
      <c r="C9" s="343"/>
      <c r="D9" s="339"/>
      <c r="E9" s="106" t="s">
        <v>19</v>
      </c>
      <c r="F9" s="106" t="s">
        <v>3</v>
      </c>
      <c r="G9" s="107" t="s">
        <v>19</v>
      </c>
      <c r="H9" s="106" t="s">
        <v>3</v>
      </c>
      <c r="I9" s="106" t="s">
        <v>21</v>
      </c>
      <c r="J9" s="339"/>
    </row>
    <row r="10" spans="1:10" ht="20.25" thickTop="1">
      <c r="A10" s="124"/>
      <c r="B10" s="109" t="s">
        <v>136</v>
      </c>
      <c r="C10" s="125"/>
      <c r="D10" s="124"/>
      <c r="E10" s="126"/>
      <c r="F10" s="111">
        <f aca="true" t="shared" si="0" ref="F10:F67">ROUND((C10*E10),2)</f>
        <v>0</v>
      </c>
      <c r="G10" s="112"/>
      <c r="H10" s="126"/>
      <c r="I10" s="126"/>
      <c r="J10" s="124"/>
    </row>
    <row r="11" spans="1:10" ht="19.5">
      <c r="A11" s="108">
        <v>1</v>
      </c>
      <c r="B11" s="113" t="s">
        <v>135</v>
      </c>
      <c r="C11" s="110">
        <v>301.05</v>
      </c>
      <c r="D11" s="108" t="s">
        <v>11</v>
      </c>
      <c r="E11" s="110"/>
      <c r="F11" s="111">
        <f t="shared" si="0"/>
        <v>0</v>
      </c>
      <c r="G11" s="110">
        <v>27.15</v>
      </c>
      <c r="H11" s="111">
        <f>ROUND((G11*C11),2)</f>
        <v>8173.51</v>
      </c>
      <c r="I11" s="111">
        <f>ROUND((F11+H11),2)</f>
        <v>8173.51</v>
      </c>
      <c r="J11" s="108" t="s">
        <v>127</v>
      </c>
    </row>
    <row r="12" spans="1:10" ht="19.5">
      <c r="A12" s="108">
        <v>2</v>
      </c>
      <c r="B12" s="113" t="s">
        <v>137</v>
      </c>
      <c r="C12" s="110">
        <v>139.7</v>
      </c>
      <c r="D12" s="108" t="s">
        <v>11</v>
      </c>
      <c r="E12" s="110"/>
      <c r="F12" s="111">
        <f t="shared" si="0"/>
        <v>0</v>
      </c>
      <c r="G12" s="110">
        <v>9.45</v>
      </c>
      <c r="H12" s="111">
        <f>ROUND((G12*C12),2)</f>
        <v>1320.17</v>
      </c>
      <c r="I12" s="111">
        <f>ROUND((F12+H12),2)</f>
        <v>1320.17</v>
      </c>
      <c r="J12" s="114">
        <f>SUM(I11:I12)</f>
        <v>9493.68</v>
      </c>
    </row>
    <row r="13" spans="1:10" ht="19.5">
      <c r="A13" s="108"/>
      <c r="B13" s="113" t="s">
        <v>146</v>
      </c>
      <c r="C13" s="110"/>
      <c r="D13" s="108"/>
      <c r="E13" s="110"/>
      <c r="F13" s="111">
        <f t="shared" si="0"/>
        <v>0</v>
      </c>
      <c r="G13" s="110"/>
      <c r="H13" s="111">
        <f aca="true" t="shared" si="1" ref="H13:H20">ROUND((G13*C13),2)</f>
        <v>0</v>
      </c>
      <c r="I13" s="111"/>
      <c r="J13" s="108">
        <v>6</v>
      </c>
    </row>
    <row r="14" spans="1:10" ht="19.5">
      <c r="A14" s="108">
        <v>1</v>
      </c>
      <c r="B14" s="113" t="s">
        <v>130</v>
      </c>
      <c r="C14" s="110">
        <v>14</v>
      </c>
      <c r="D14" s="108" t="s">
        <v>11</v>
      </c>
      <c r="E14" s="110"/>
      <c r="F14" s="111">
        <f t="shared" si="0"/>
        <v>0</v>
      </c>
      <c r="G14" s="110">
        <v>17.61</v>
      </c>
      <c r="H14" s="111">
        <f t="shared" si="1"/>
        <v>246.54</v>
      </c>
      <c r="I14" s="111">
        <f aca="true" t="shared" si="2" ref="I14:I19">ROUND((F14+H14),2)</f>
        <v>246.54</v>
      </c>
      <c r="J14" s="108"/>
    </row>
    <row r="15" spans="1:10" ht="19.5">
      <c r="A15" s="108">
        <v>3</v>
      </c>
      <c r="B15" s="113" t="s">
        <v>120</v>
      </c>
      <c r="C15" s="110">
        <v>5</v>
      </c>
      <c r="D15" s="108" t="s">
        <v>124</v>
      </c>
      <c r="E15" s="110">
        <v>1023</v>
      </c>
      <c r="F15" s="111">
        <f t="shared" si="0"/>
        <v>5115</v>
      </c>
      <c r="G15" s="110">
        <v>0</v>
      </c>
      <c r="H15" s="111">
        <f t="shared" si="1"/>
        <v>0</v>
      </c>
      <c r="I15" s="111">
        <f t="shared" si="2"/>
        <v>5115</v>
      </c>
      <c r="J15" s="108"/>
    </row>
    <row r="16" spans="1:10" ht="19.5">
      <c r="A16" s="108">
        <v>3</v>
      </c>
      <c r="B16" s="113" t="s">
        <v>121</v>
      </c>
      <c r="C16" s="110">
        <v>6</v>
      </c>
      <c r="D16" s="108" t="s">
        <v>124</v>
      </c>
      <c r="E16" s="110">
        <v>1475</v>
      </c>
      <c r="F16" s="111">
        <f t="shared" si="0"/>
        <v>8850</v>
      </c>
      <c r="G16" s="110">
        <v>0</v>
      </c>
      <c r="H16" s="111">
        <f t="shared" si="1"/>
        <v>0</v>
      </c>
      <c r="I16" s="111">
        <f t="shared" si="2"/>
        <v>8850</v>
      </c>
      <c r="J16" s="108"/>
    </row>
    <row r="17" spans="1:10" ht="19.5">
      <c r="A17" s="108">
        <v>4</v>
      </c>
      <c r="B17" s="113" t="s">
        <v>122</v>
      </c>
      <c r="C17" s="110">
        <v>36</v>
      </c>
      <c r="D17" s="108" t="s">
        <v>12</v>
      </c>
      <c r="E17" s="110">
        <v>50</v>
      </c>
      <c r="F17" s="111">
        <f t="shared" si="0"/>
        <v>1800</v>
      </c>
      <c r="G17" s="110">
        <v>5</v>
      </c>
      <c r="H17" s="111">
        <f t="shared" si="1"/>
        <v>180</v>
      </c>
      <c r="I17" s="111">
        <f t="shared" si="2"/>
        <v>1980</v>
      </c>
      <c r="J17" s="108"/>
    </row>
    <row r="18" spans="1:10" ht="19.5">
      <c r="A18" s="108">
        <v>7</v>
      </c>
      <c r="B18" s="113" t="s">
        <v>126</v>
      </c>
      <c r="C18" s="110">
        <v>17</v>
      </c>
      <c r="D18" s="108" t="s">
        <v>11</v>
      </c>
      <c r="E18" s="110">
        <v>518</v>
      </c>
      <c r="F18" s="111">
        <f t="shared" si="0"/>
        <v>8806</v>
      </c>
      <c r="G18" s="110">
        <v>515</v>
      </c>
      <c r="H18" s="111">
        <f t="shared" si="1"/>
        <v>8755</v>
      </c>
      <c r="I18" s="111">
        <f t="shared" si="2"/>
        <v>17561</v>
      </c>
      <c r="J18" s="108"/>
    </row>
    <row r="19" spans="1:10" ht="19.5">
      <c r="A19" s="108">
        <v>8</v>
      </c>
      <c r="B19" s="113" t="s">
        <v>123</v>
      </c>
      <c r="C19" s="110">
        <v>0.9</v>
      </c>
      <c r="D19" s="108" t="s">
        <v>11</v>
      </c>
      <c r="E19" s="110">
        <v>518</v>
      </c>
      <c r="F19" s="111">
        <f t="shared" si="0"/>
        <v>466.2</v>
      </c>
      <c r="G19" s="110">
        <v>515</v>
      </c>
      <c r="H19" s="111">
        <f t="shared" si="1"/>
        <v>463.5</v>
      </c>
      <c r="I19" s="111">
        <f t="shared" si="2"/>
        <v>929.7</v>
      </c>
      <c r="J19" s="114">
        <f>SUM(I14:I19)</f>
        <v>34682.24</v>
      </c>
    </row>
    <row r="20" spans="1:10" ht="19.5">
      <c r="A20" s="108"/>
      <c r="B20" s="113" t="s">
        <v>147</v>
      </c>
      <c r="C20" s="110"/>
      <c r="D20" s="108"/>
      <c r="E20" s="110"/>
      <c r="F20" s="111">
        <f t="shared" si="0"/>
        <v>0</v>
      </c>
      <c r="G20" s="110"/>
      <c r="H20" s="111">
        <f t="shared" si="1"/>
        <v>0</v>
      </c>
      <c r="I20" s="111"/>
      <c r="J20" s="108">
        <v>8</v>
      </c>
    </row>
    <row r="21" spans="1:10" ht="19.5">
      <c r="A21" s="108">
        <v>1</v>
      </c>
      <c r="B21" s="113" t="s">
        <v>130</v>
      </c>
      <c r="C21" s="110">
        <v>19.14</v>
      </c>
      <c r="D21" s="108" t="s">
        <v>11</v>
      </c>
      <c r="E21" s="110"/>
      <c r="F21" s="111">
        <f t="shared" si="0"/>
        <v>0</v>
      </c>
      <c r="G21" s="110">
        <v>17.61</v>
      </c>
      <c r="H21" s="111">
        <f>ROUND((G21*C21),2)</f>
        <v>337.06</v>
      </c>
      <c r="I21" s="111">
        <f aca="true" t="shared" si="3" ref="I21:I26">ROUND((F21+H21),2)</f>
        <v>337.06</v>
      </c>
      <c r="J21" s="108"/>
    </row>
    <row r="22" spans="1:10" ht="19.5">
      <c r="A22" s="108">
        <v>3</v>
      </c>
      <c r="B22" s="113" t="s">
        <v>120</v>
      </c>
      <c r="C22" s="110">
        <v>8</v>
      </c>
      <c r="D22" s="108" t="s">
        <v>124</v>
      </c>
      <c r="E22" s="110">
        <v>1023</v>
      </c>
      <c r="F22" s="111">
        <f t="shared" si="0"/>
        <v>8184</v>
      </c>
      <c r="G22" s="110">
        <v>0</v>
      </c>
      <c r="H22" s="111">
        <f aca="true" t="shared" si="4" ref="H22:H54">ROUND((G22*C22),2)</f>
        <v>0</v>
      </c>
      <c r="I22" s="111">
        <f t="shared" si="3"/>
        <v>8184</v>
      </c>
      <c r="J22" s="108"/>
    </row>
    <row r="23" spans="1:10" ht="19.5">
      <c r="A23" s="108">
        <v>3</v>
      </c>
      <c r="B23" s="113" t="s">
        <v>121</v>
      </c>
      <c r="C23" s="110">
        <v>8</v>
      </c>
      <c r="D23" s="108" t="s">
        <v>124</v>
      </c>
      <c r="E23" s="110">
        <v>1475</v>
      </c>
      <c r="F23" s="111">
        <f t="shared" si="0"/>
        <v>11800</v>
      </c>
      <c r="G23" s="110">
        <v>0</v>
      </c>
      <c r="H23" s="111">
        <f t="shared" si="4"/>
        <v>0</v>
      </c>
      <c r="I23" s="111">
        <f t="shared" si="3"/>
        <v>11800</v>
      </c>
      <c r="J23" s="108"/>
    </row>
    <row r="24" spans="1:10" ht="19.5">
      <c r="A24" s="108">
        <v>4</v>
      </c>
      <c r="B24" s="113" t="s">
        <v>122</v>
      </c>
      <c r="C24" s="110">
        <v>48</v>
      </c>
      <c r="D24" s="108" t="s">
        <v>12</v>
      </c>
      <c r="E24" s="110">
        <v>50</v>
      </c>
      <c r="F24" s="111">
        <f t="shared" si="0"/>
        <v>2400</v>
      </c>
      <c r="G24" s="110">
        <v>5</v>
      </c>
      <c r="H24" s="111">
        <f t="shared" si="4"/>
        <v>240</v>
      </c>
      <c r="I24" s="111">
        <f t="shared" si="3"/>
        <v>2640</v>
      </c>
      <c r="J24" s="108"/>
    </row>
    <row r="25" spans="1:10" ht="19.5">
      <c r="A25" s="108">
        <v>7</v>
      </c>
      <c r="B25" s="113" t="s">
        <v>126</v>
      </c>
      <c r="C25" s="110">
        <v>24</v>
      </c>
      <c r="D25" s="108" t="s">
        <v>11</v>
      </c>
      <c r="E25" s="110">
        <v>518</v>
      </c>
      <c r="F25" s="111">
        <f t="shared" si="0"/>
        <v>12432</v>
      </c>
      <c r="G25" s="110">
        <v>515</v>
      </c>
      <c r="H25" s="111">
        <f t="shared" si="4"/>
        <v>12360</v>
      </c>
      <c r="I25" s="111">
        <f t="shared" si="3"/>
        <v>24792</v>
      </c>
      <c r="J25" s="108"/>
    </row>
    <row r="26" spans="1:10" ht="19.5">
      <c r="A26" s="108">
        <v>8</v>
      </c>
      <c r="B26" s="113" t="s">
        <v>123</v>
      </c>
      <c r="C26" s="110">
        <v>1.2</v>
      </c>
      <c r="D26" s="108" t="s">
        <v>11</v>
      </c>
      <c r="E26" s="110">
        <v>518</v>
      </c>
      <c r="F26" s="111">
        <f t="shared" si="0"/>
        <v>621.6</v>
      </c>
      <c r="G26" s="110">
        <v>515</v>
      </c>
      <c r="H26" s="111">
        <f t="shared" si="4"/>
        <v>618</v>
      </c>
      <c r="I26" s="111">
        <f t="shared" si="3"/>
        <v>1239.6</v>
      </c>
      <c r="J26" s="114">
        <f>SUM(I21:I26)</f>
        <v>48992.659999999996</v>
      </c>
    </row>
    <row r="27" spans="1:10" ht="19.5">
      <c r="A27" s="108"/>
      <c r="B27" s="113" t="s">
        <v>138</v>
      </c>
      <c r="C27" s="110"/>
      <c r="D27" s="108"/>
      <c r="E27" s="110"/>
      <c r="F27" s="111">
        <f t="shared" si="0"/>
        <v>0</v>
      </c>
      <c r="G27" s="110"/>
      <c r="H27" s="111">
        <f t="shared" si="4"/>
        <v>0</v>
      </c>
      <c r="I27" s="111"/>
      <c r="J27" s="108">
        <v>8</v>
      </c>
    </row>
    <row r="28" spans="1:10" ht="19.5">
      <c r="A28" s="108">
        <v>1</v>
      </c>
      <c r="B28" s="113" t="s">
        <v>130</v>
      </c>
      <c r="C28" s="110">
        <v>19.14</v>
      </c>
      <c r="D28" s="108" t="s">
        <v>11</v>
      </c>
      <c r="E28" s="110"/>
      <c r="F28" s="111">
        <f t="shared" si="0"/>
        <v>0</v>
      </c>
      <c r="G28" s="110">
        <v>17.61</v>
      </c>
      <c r="H28" s="111">
        <f>ROUND((G28*C28),2)</f>
        <v>337.06</v>
      </c>
      <c r="I28" s="111">
        <f aca="true" t="shared" si="5" ref="I28:I33">ROUND((F28+H28),2)</f>
        <v>337.06</v>
      </c>
      <c r="J28" s="108"/>
    </row>
    <row r="29" spans="1:10" ht="19.5">
      <c r="A29" s="108">
        <v>3</v>
      </c>
      <c r="B29" s="113" t="s">
        <v>120</v>
      </c>
      <c r="C29" s="110">
        <v>8</v>
      </c>
      <c r="D29" s="108" t="s">
        <v>124</v>
      </c>
      <c r="E29" s="110">
        <v>1023</v>
      </c>
      <c r="F29" s="111">
        <f t="shared" si="0"/>
        <v>8184</v>
      </c>
      <c r="G29" s="110">
        <v>0</v>
      </c>
      <c r="H29" s="111">
        <f aca="true" t="shared" si="6" ref="H29:H40">ROUND((G29*C29),2)</f>
        <v>0</v>
      </c>
      <c r="I29" s="111">
        <f t="shared" si="5"/>
        <v>8184</v>
      </c>
      <c r="J29" s="108"/>
    </row>
    <row r="30" spans="1:10" ht="19.5">
      <c r="A30" s="108">
        <v>3</v>
      </c>
      <c r="B30" s="113" t="s">
        <v>121</v>
      </c>
      <c r="C30" s="110">
        <v>8</v>
      </c>
      <c r="D30" s="108" t="s">
        <v>124</v>
      </c>
      <c r="E30" s="110">
        <v>1475</v>
      </c>
      <c r="F30" s="111">
        <f t="shared" si="0"/>
        <v>11800</v>
      </c>
      <c r="G30" s="110">
        <v>0</v>
      </c>
      <c r="H30" s="111">
        <f t="shared" si="6"/>
        <v>0</v>
      </c>
      <c r="I30" s="111">
        <f t="shared" si="5"/>
        <v>11800</v>
      </c>
      <c r="J30" s="108"/>
    </row>
    <row r="31" spans="1:10" ht="19.5">
      <c r="A31" s="108">
        <v>4</v>
      </c>
      <c r="B31" s="113" t="s">
        <v>122</v>
      </c>
      <c r="C31" s="110">
        <v>48</v>
      </c>
      <c r="D31" s="108" t="s">
        <v>12</v>
      </c>
      <c r="E31" s="110">
        <v>50</v>
      </c>
      <c r="F31" s="111">
        <f t="shared" si="0"/>
        <v>2400</v>
      </c>
      <c r="G31" s="110">
        <v>5</v>
      </c>
      <c r="H31" s="111">
        <f t="shared" si="6"/>
        <v>240</v>
      </c>
      <c r="I31" s="111">
        <f t="shared" si="5"/>
        <v>2640</v>
      </c>
      <c r="J31" s="108"/>
    </row>
    <row r="32" spans="1:10" ht="19.5">
      <c r="A32" s="108">
        <v>7</v>
      </c>
      <c r="B32" s="113" t="s">
        <v>126</v>
      </c>
      <c r="C32" s="110">
        <v>24</v>
      </c>
      <c r="D32" s="108" t="s">
        <v>11</v>
      </c>
      <c r="E32" s="110">
        <v>518</v>
      </c>
      <c r="F32" s="111">
        <f t="shared" si="0"/>
        <v>12432</v>
      </c>
      <c r="G32" s="110">
        <v>515</v>
      </c>
      <c r="H32" s="111">
        <f t="shared" si="6"/>
        <v>12360</v>
      </c>
      <c r="I32" s="111">
        <f t="shared" si="5"/>
        <v>24792</v>
      </c>
      <c r="J32" s="108"/>
    </row>
    <row r="33" spans="1:10" ht="19.5">
      <c r="A33" s="108">
        <v>8</v>
      </c>
      <c r="B33" s="113" t="s">
        <v>123</v>
      </c>
      <c r="C33" s="110">
        <v>1.2</v>
      </c>
      <c r="D33" s="108" t="s">
        <v>11</v>
      </c>
      <c r="E33" s="110">
        <v>518</v>
      </c>
      <c r="F33" s="111">
        <f t="shared" si="0"/>
        <v>621.6</v>
      </c>
      <c r="G33" s="110">
        <v>515</v>
      </c>
      <c r="H33" s="111">
        <f t="shared" si="6"/>
        <v>618</v>
      </c>
      <c r="I33" s="111">
        <f t="shared" si="5"/>
        <v>1239.6</v>
      </c>
      <c r="J33" s="114">
        <f>SUM(I28:I33)</f>
        <v>48992.659999999996</v>
      </c>
    </row>
    <row r="34" spans="1:10" ht="19.5">
      <c r="A34" s="108"/>
      <c r="B34" s="113" t="s">
        <v>139</v>
      </c>
      <c r="C34" s="110"/>
      <c r="D34" s="108"/>
      <c r="E34" s="110"/>
      <c r="F34" s="111">
        <f t="shared" si="0"/>
        <v>0</v>
      </c>
      <c r="G34" s="110"/>
      <c r="H34" s="111">
        <f t="shared" si="6"/>
        <v>0</v>
      </c>
      <c r="I34" s="111"/>
      <c r="J34" s="108">
        <v>6</v>
      </c>
    </row>
    <row r="35" spans="1:10" ht="19.5">
      <c r="A35" s="108">
        <v>1</v>
      </c>
      <c r="B35" s="113" t="s">
        <v>130</v>
      </c>
      <c r="C35" s="110">
        <v>14</v>
      </c>
      <c r="D35" s="108" t="s">
        <v>11</v>
      </c>
      <c r="E35" s="110"/>
      <c r="F35" s="111">
        <f t="shared" si="0"/>
        <v>0</v>
      </c>
      <c r="G35" s="110">
        <v>17.61</v>
      </c>
      <c r="H35" s="111">
        <f t="shared" si="6"/>
        <v>246.54</v>
      </c>
      <c r="I35" s="111">
        <f aca="true" t="shared" si="7" ref="I35:I47">ROUND((F35+H35),2)</f>
        <v>246.54</v>
      </c>
      <c r="J35" s="108"/>
    </row>
    <row r="36" spans="1:10" ht="19.5">
      <c r="A36" s="108">
        <v>3</v>
      </c>
      <c r="B36" s="113" t="s">
        <v>120</v>
      </c>
      <c r="C36" s="110">
        <v>5</v>
      </c>
      <c r="D36" s="108" t="s">
        <v>124</v>
      </c>
      <c r="E36" s="110">
        <v>1023</v>
      </c>
      <c r="F36" s="111">
        <f t="shared" si="0"/>
        <v>5115</v>
      </c>
      <c r="G36" s="110">
        <v>0</v>
      </c>
      <c r="H36" s="111">
        <f t="shared" si="6"/>
        <v>0</v>
      </c>
      <c r="I36" s="111">
        <f t="shared" si="7"/>
        <v>5115</v>
      </c>
      <c r="J36" s="108"/>
    </row>
    <row r="37" spans="1:10" ht="19.5">
      <c r="A37" s="108">
        <v>3</v>
      </c>
      <c r="B37" s="113" t="s">
        <v>121</v>
      </c>
      <c r="C37" s="110">
        <v>6</v>
      </c>
      <c r="D37" s="108" t="s">
        <v>124</v>
      </c>
      <c r="E37" s="110">
        <v>1475</v>
      </c>
      <c r="F37" s="111">
        <f t="shared" si="0"/>
        <v>8850</v>
      </c>
      <c r="G37" s="110">
        <v>0</v>
      </c>
      <c r="H37" s="111">
        <f t="shared" si="6"/>
        <v>0</v>
      </c>
      <c r="I37" s="111">
        <f t="shared" si="7"/>
        <v>8850</v>
      </c>
      <c r="J37" s="108"/>
    </row>
    <row r="38" spans="1:10" ht="19.5">
      <c r="A38" s="108">
        <v>4</v>
      </c>
      <c r="B38" s="113" t="s">
        <v>122</v>
      </c>
      <c r="C38" s="110">
        <v>36</v>
      </c>
      <c r="D38" s="108" t="s">
        <v>12</v>
      </c>
      <c r="E38" s="110">
        <v>50</v>
      </c>
      <c r="F38" s="111">
        <f t="shared" si="0"/>
        <v>1800</v>
      </c>
      <c r="G38" s="110">
        <v>5</v>
      </c>
      <c r="H38" s="111">
        <f t="shared" si="6"/>
        <v>180</v>
      </c>
      <c r="I38" s="111">
        <f t="shared" si="7"/>
        <v>1980</v>
      </c>
      <c r="J38" s="108"/>
    </row>
    <row r="39" spans="1:10" ht="19.5">
      <c r="A39" s="108">
        <v>7</v>
      </c>
      <c r="B39" s="113" t="s">
        <v>126</v>
      </c>
      <c r="C39" s="110">
        <v>17</v>
      </c>
      <c r="D39" s="108" t="s">
        <v>11</v>
      </c>
      <c r="E39" s="110">
        <v>518</v>
      </c>
      <c r="F39" s="111">
        <f t="shared" si="0"/>
        <v>8806</v>
      </c>
      <c r="G39" s="110">
        <v>515</v>
      </c>
      <c r="H39" s="111">
        <f t="shared" si="6"/>
        <v>8755</v>
      </c>
      <c r="I39" s="111">
        <f t="shared" si="7"/>
        <v>17561</v>
      </c>
      <c r="J39" s="108"/>
    </row>
    <row r="40" spans="1:10" ht="19.5">
      <c r="A40" s="108">
        <v>8</v>
      </c>
      <c r="B40" s="113" t="s">
        <v>123</v>
      </c>
      <c r="C40" s="110">
        <v>0.9</v>
      </c>
      <c r="D40" s="108" t="s">
        <v>11</v>
      </c>
      <c r="E40" s="110">
        <v>518</v>
      </c>
      <c r="F40" s="111">
        <f t="shared" si="0"/>
        <v>466.2</v>
      </c>
      <c r="G40" s="110">
        <v>515</v>
      </c>
      <c r="H40" s="111">
        <f t="shared" si="6"/>
        <v>463.5</v>
      </c>
      <c r="I40" s="111">
        <f t="shared" si="7"/>
        <v>929.7</v>
      </c>
      <c r="J40" s="114">
        <f>SUM(I35:I40)</f>
        <v>34682.24</v>
      </c>
    </row>
    <row r="41" spans="1:10" ht="19.5">
      <c r="A41" s="108"/>
      <c r="B41" s="113" t="s">
        <v>141</v>
      </c>
      <c r="C41" s="110"/>
      <c r="D41" s="108"/>
      <c r="E41" s="110"/>
      <c r="F41" s="111">
        <f>ROUND((C41*E41),2)</f>
        <v>0</v>
      </c>
      <c r="G41" s="110"/>
      <c r="H41" s="111">
        <f t="shared" si="4"/>
        <v>0</v>
      </c>
      <c r="I41" s="111">
        <f t="shared" si="7"/>
        <v>0</v>
      </c>
      <c r="J41" s="108">
        <v>10</v>
      </c>
    </row>
    <row r="42" spans="1:10" ht="19.5">
      <c r="A42" s="108">
        <v>1</v>
      </c>
      <c r="B42" s="113" t="s">
        <v>130</v>
      </c>
      <c r="C42" s="110">
        <v>28.6</v>
      </c>
      <c r="D42" s="108" t="s">
        <v>11</v>
      </c>
      <c r="E42" s="110"/>
      <c r="F42" s="111">
        <f t="shared" si="0"/>
        <v>0</v>
      </c>
      <c r="G42" s="110">
        <v>17.61</v>
      </c>
      <c r="H42" s="111">
        <f>ROUND((G42*C42),2)</f>
        <v>503.65</v>
      </c>
      <c r="I42" s="111">
        <f t="shared" si="7"/>
        <v>503.65</v>
      </c>
      <c r="J42" s="108"/>
    </row>
    <row r="43" spans="1:10" ht="19.5">
      <c r="A43" s="108">
        <v>3</v>
      </c>
      <c r="B43" s="113" t="s">
        <v>120</v>
      </c>
      <c r="C43" s="110">
        <v>9</v>
      </c>
      <c r="D43" s="108" t="s">
        <v>124</v>
      </c>
      <c r="E43" s="110">
        <v>1023</v>
      </c>
      <c r="F43" s="111">
        <f t="shared" si="0"/>
        <v>9207</v>
      </c>
      <c r="G43" s="110">
        <v>0</v>
      </c>
      <c r="H43" s="111">
        <f t="shared" si="4"/>
        <v>0</v>
      </c>
      <c r="I43" s="111">
        <f t="shared" si="7"/>
        <v>9207</v>
      </c>
      <c r="J43" s="108"/>
    </row>
    <row r="44" spans="1:10" ht="19.5">
      <c r="A44" s="108">
        <v>3</v>
      </c>
      <c r="B44" s="113" t="s">
        <v>121</v>
      </c>
      <c r="C44" s="110">
        <v>10</v>
      </c>
      <c r="D44" s="108" t="s">
        <v>124</v>
      </c>
      <c r="E44" s="110">
        <v>1475</v>
      </c>
      <c r="F44" s="111">
        <f t="shared" si="0"/>
        <v>14750</v>
      </c>
      <c r="G44" s="110">
        <v>0</v>
      </c>
      <c r="H44" s="111">
        <f t="shared" si="4"/>
        <v>0</v>
      </c>
      <c r="I44" s="111">
        <f t="shared" si="7"/>
        <v>14750</v>
      </c>
      <c r="J44" s="108"/>
    </row>
    <row r="45" spans="1:10" ht="19.5">
      <c r="A45" s="108">
        <v>4</v>
      </c>
      <c r="B45" s="113" t="s">
        <v>122</v>
      </c>
      <c r="C45" s="110">
        <v>60</v>
      </c>
      <c r="D45" s="108" t="s">
        <v>12</v>
      </c>
      <c r="E45" s="110">
        <v>50</v>
      </c>
      <c r="F45" s="111">
        <f t="shared" si="0"/>
        <v>3000</v>
      </c>
      <c r="G45" s="110">
        <v>5</v>
      </c>
      <c r="H45" s="111">
        <f t="shared" si="4"/>
        <v>300</v>
      </c>
      <c r="I45" s="111">
        <f t="shared" si="7"/>
        <v>3300</v>
      </c>
      <c r="J45" s="108"/>
    </row>
    <row r="46" spans="1:10" ht="19.5">
      <c r="A46" s="108">
        <v>7</v>
      </c>
      <c r="B46" s="113" t="s">
        <v>126</v>
      </c>
      <c r="C46" s="110">
        <v>29</v>
      </c>
      <c r="D46" s="108" t="s">
        <v>11</v>
      </c>
      <c r="E46" s="110">
        <v>518</v>
      </c>
      <c r="F46" s="111">
        <f t="shared" si="0"/>
        <v>15022</v>
      </c>
      <c r="G46" s="110">
        <v>515</v>
      </c>
      <c r="H46" s="111">
        <f t="shared" si="4"/>
        <v>14935</v>
      </c>
      <c r="I46" s="111">
        <f t="shared" si="7"/>
        <v>29957</v>
      </c>
      <c r="J46" s="108"/>
    </row>
    <row r="47" spans="1:10" ht="19.5">
      <c r="A47" s="108">
        <v>8</v>
      </c>
      <c r="B47" s="113" t="s">
        <v>123</v>
      </c>
      <c r="C47" s="110">
        <v>1.2</v>
      </c>
      <c r="D47" s="108" t="s">
        <v>11</v>
      </c>
      <c r="E47" s="110">
        <v>518</v>
      </c>
      <c r="F47" s="111">
        <f t="shared" si="0"/>
        <v>621.6</v>
      </c>
      <c r="G47" s="110">
        <v>515</v>
      </c>
      <c r="H47" s="111">
        <f t="shared" si="4"/>
        <v>618</v>
      </c>
      <c r="I47" s="111">
        <f t="shared" si="7"/>
        <v>1239.6</v>
      </c>
      <c r="J47" s="114">
        <f>SUM(I42:I47)</f>
        <v>58957.25</v>
      </c>
    </row>
    <row r="48" spans="1:10" ht="19.5">
      <c r="A48" s="108"/>
      <c r="B48" s="113" t="s">
        <v>142</v>
      </c>
      <c r="C48" s="110"/>
      <c r="D48" s="108"/>
      <c r="E48" s="110"/>
      <c r="F48" s="111">
        <f t="shared" si="0"/>
        <v>0</v>
      </c>
      <c r="G48" s="110"/>
      <c r="H48" s="111">
        <f t="shared" si="4"/>
        <v>0</v>
      </c>
      <c r="I48" s="111"/>
      <c r="J48" s="108">
        <v>6</v>
      </c>
    </row>
    <row r="49" spans="1:10" ht="19.5">
      <c r="A49" s="108">
        <v>1</v>
      </c>
      <c r="B49" s="113" t="s">
        <v>130</v>
      </c>
      <c r="C49" s="110">
        <v>14</v>
      </c>
      <c r="D49" s="108" t="s">
        <v>11</v>
      </c>
      <c r="E49" s="110"/>
      <c r="F49" s="111">
        <f t="shared" si="0"/>
        <v>0</v>
      </c>
      <c r="G49" s="110">
        <v>17.61</v>
      </c>
      <c r="H49" s="111">
        <f t="shared" si="4"/>
        <v>246.54</v>
      </c>
      <c r="I49" s="111">
        <f aca="true" t="shared" si="8" ref="I49:I54">ROUND((F49+H49),2)</f>
        <v>246.54</v>
      </c>
      <c r="J49" s="108"/>
    </row>
    <row r="50" spans="1:10" ht="19.5">
      <c r="A50" s="108">
        <v>3</v>
      </c>
      <c r="B50" s="113" t="s">
        <v>120</v>
      </c>
      <c r="C50" s="110">
        <v>5</v>
      </c>
      <c r="D50" s="108" t="s">
        <v>124</v>
      </c>
      <c r="E50" s="110">
        <v>1023</v>
      </c>
      <c r="F50" s="111">
        <f t="shared" si="0"/>
        <v>5115</v>
      </c>
      <c r="G50" s="110">
        <v>0</v>
      </c>
      <c r="H50" s="111">
        <f t="shared" si="4"/>
        <v>0</v>
      </c>
      <c r="I50" s="111">
        <f t="shared" si="8"/>
        <v>5115</v>
      </c>
      <c r="J50" s="108"/>
    </row>
    <row r="51" spans="1:10" ht="19.5">
      <c r="A51" s="108">
        <v>3</v>
      </c>
      <c r="B51" s="113" t="s">
        <v>121</v>
      </c>
      <c r="C51" s="110">
        <v>6</v>
      </c>
      <c r="D51" s="108" t="s">
        <v>124</v>
      </c>
      <c r="E51" s="110">
        <v>1475</v>
      </c>
      <c r="F51" s="111">
        <f t="shared" si="0"/>
        <v>8850</v>
      </c>
      <c r="G51" s="110">
        <v>0</v>
      </c>
      <c r="H51" s="111">
        <f t="shared" si="4"/>
        <v>0</v>
      </c>
      <c r="I51" s="111">
        <f t="shared" si="8"/>
        <v>8850</v>
      </c>
      <c r="J51" s="108"/>
    </row>
    <row r="52" spans="1:10" ht="19.5">
      <c r="A52" s="108">
        <v>4</v>
      </c>
      <c r="B52" s="113" t="s">
        <v>122</v>
      </c>
      <c r="C52" s="110">
        <v>36</v>
      </c>
      <c r="D52" s="108" t="s">
        <v>12</v>
      </c>
      <c r="E52" s="110">
        <v>50</v>
      </c>
      <c r="F52" s="111">
        <f t="shared" si="0"/>
        <v>1800</v>
      </c>
      <c r="G52" s="110">
        <v>5</v>
      </c>
      <c r="H52" s="111">
        <f t="shared" si="4"/>
        <v>180</v>
      </c>
      <c r="I52" s="111">
        <f t="shared" si="8"/>
        <v>1980</v>
      </c>
      <c r="J52" s="108"/>
    </row>
    <row r="53" spans="1:10" ht="19.5">
      <c r="A53" s="108">
        <v>7</v>
      </c>
      <c r="B53" s="113" t="s">
        <v>126</v>
      </c>
      <c r="C53" s="110">
        <v>17</v>
      </c>
      <c r="D53" s="108" t="s">
        <v>11</v>
      </c>
      <c r="E53" s="110">
        <v>518</v>
      </c>
      <c r="F53" s="111">
        <f t="shared" si="0"/>
        <v>8806</v>
      </c>
      <c r="G53" s="110">
        <v>515</v>
      </c>
      <c r="H53" s="111">
        <f t="shared" si="4"/>
        <v>8755</v>
      </c>
      <c r="I53" s="111">
        <f t="shared" si="8"/>
        <v>17561</v>
      </c>
      <c r="J53" s="108"/>
    </row>
    <row r="54" spans="1:10" ht="19.5">
      <c r="A54" s="108">
        <v>8</v>
      </c>
      <c r="B54" s="113" t="s">
        <v>123</v>
      </c>
      <c r="C54" s="110">
        <v>0.9</v>
      </c>
      <c r="D54" s="108" t="s">
        <v>11</v>
      </c>
      <c r="E54" s="110">
        <v>518</v>
      </c>
      <c r="F54" s="111">
        <f t="shared" si="0"/>
        <v>466.2</v>
      </c>
      <c r="G54" s="110">
        <v>515</v>
      </c>
      <c r="H54" s="111">
        <f t="shared" si="4"/>
        <v>463.5</v>
      </c>
      <c r="I54" s="111">
        <f t="shared" si="8"/>
        <v>929.7</v>
      </c>
      <c r="J54" s="114">
        <f>SUM(I49:I54)</f>
        <v>34682.24</v>
      </c>
    </row>
    <row r="55" spans="1:10" ht="19.5">
      <c r="A55" s="108"/>
      <c r="B55" s="113" t="s">
        <v>143</v>
      </c>
      <c r="C55" s="110"/>
      <c r="D55" s="108"/>
      <c r="E55" s="110"/>
      <c r="F55" s="111">
        <f t="shared" si="0"/>
        <v>0</v>
      </c>
      <c r="G55" s="110"/>
      <c r="H55" s="111">
        <f aca="true" t="shared" si="9" ref="H55:H62">ROUND((G55*C55),2)</f>
        <v>0</v>
      </c>
      <c r="I55" s="111"/>
      <c r="J55" s="108">
        <v>6</v>
      </c>
    </row>
    <row r="56" spans="1:10" ht="19.5">
      <c r="A56" s="108">
        <v>1</v>
      </c>
      <c r="B56" s="113" t="s">
        <v>130</v>
      </c>
      <c r="C56" s="110">
        <v>14</v>
      </c>
      <c r="D56" s="108" t="s">
        <v>11</v>
      </c>
      <c r="E56" s="110"/>
      <c r="F56" s="111">
        <f t="shared" si="0"/>
        <v>0</v>
      </c>
      <c r="G56" s="110">
        <v>17.61</v>
      </c>
      <c r="H56" s="111">
        <f t="shared" si="9"/>
        <v>246.54</v>
      </c>
      <c r="I56" s="111">
        <f aca="true" t="shared" si="10" ref="I56:I61">ROUND((F56+H56),2)</f>
        <v>246.54</v>
      </c>
      <c r="J56" s="108"/>
    </row>
    <row r="57" spans="1:10" ht="19.5">
      <c r="A57" s="108">
        <v>3</v>
      </c>
      <c r="B57" s="113" t="s">
        <v>120</v>
      </c>
      <c r="C57" s="110">
        <v>5</v>
      </c>
      <c r="D57" s="108" t="s">
        <v>124</v>
      </c>
      <c r="E57" s="110">
        <v>1023</v>
      </c>
      <c r="F57" s="111">
        <f t="shared" si="0"/>
        <v>5115</v>
      </c>
      <c r="G57" s="110">
        <v>0</v>
      </c>
      <c r="H57" s="111">
        <f t="shared" si="9"/>
        <v>0</v>
      </c>
      <c r="I57" s="111">
        <f t="shared" si="10"/>
        <v>5115</v>
      </c>
      <c r="J57" s="108"/>
    </row>
    <row r="58" spans="1:10" ht="19.5">
      <c r="A58" s="108">
        <v>3</v>
      </c>
      <c r="B58" s="113" t="s">
        <v>121</v>
      </c>
      <c r="C58" s="110">
        <v>6</v>
      </c>
      <c r="D58" s="108" t="s">
        <v>124</v>
      </c>
      <c r="E58" s="110">
        <v>1475</v>
      </c>
      <c r="F58" s="111">
        <f t="shared" si="0"/>
        <v>8850</v>
      </c>
      <c r="G58" s="110">
        <v>0</v>
      </c>
      <c r="H58" s="111">
        <f t="shared" si="9"/>
        <v>0</v>
      </c>
      <c r="I58" s="111">
        <f t="shared" si="10"/>
        <v>8850</v>
      </c>
      <c r="J58" s="108"/>
    </row>
    <row r="59" spans="1:10" ht="19.5">
      <c r="A59" s="108">
        <v>4</v>
      </c>
      <c r="B59" s="113" t="s">
        <v>122</v>
      </c>
      <c r="C59" s="110">
        <v>36</v>
      </c>
      <c r="D59" s="108" t="s">
        <v>12</v>
      </c>
      <c r="E59" s="110">
        <v>50</v>
      </c>
      <c r="F59" s="111">
        <f t="shared" si="0"/>
        <v>1800</v>
      </c>
      <c r="G59" s="110">
        <v>5</v>
      </c>
      <c r="H59" s="111">
        <f t="shared" si="9"/>
        <v>180</v>
      </c>
      <c r="I59" s="111">
        <f t="shared" si="10"/>
        <v>1980</v>
      </c>
      <c r="J59" s="108"/>
    </row>
    <row r="60" spans="1:10" ht="19.5">
      <c r="A60" s="108">
        <v>7</v>
      </c>
      <c r="B60" s="113" t="s">
        <v>126</v>
      </c>
      <c r="C60" s="110">
        <v>17</v>
      </c>
      <c r="D60" s="108" t="s">
        <v>11</v>
      </c>
      <c r="E60" s="110">
        <v>518</v>
      </c>
      <c r="F60" s="111">
        <f t="shared" si="0"/>
        <v>8806</v>
      </c>
      <c r="G60" s="110">
        <v>515</v>
      </c>
      <c r="H60" s="111">
        <f t="shared" si="9"/>
        <v>8755</v>
      </c>
      <c r="I60" s="111">
        <f t="shared" si="10"/>
        <v>17561</v>
      </c>
      <c r="J60" s="108"/>
    </row>
    <row r="61" spans="1:10" ht="19.5">
      <c r="A61" s="108">
        <v>8</v>
      </c>
      <c r="B61" s="113" t="s">
        <v>123</v>
      </c>
      <c r="C61" s="110">
        <v>0.9</v>
      </c>
      <c r="D61" s="108" t="s">
        <v>11</v>
      </c>
      <c r="E61" s="110">
        <v>518</v>
      </c>
      <c r="F61" s="111">
        <f t="shared" si="0"/>
        <v>466.2</v>
      </c>
      <c r="G61" s="110">
        <v>515</v>
      </c>
      <c r="H61" s="111">
        <f t="shared" si="9"/>
        <v>463.5</v>
      </c>
      <c r="I61" s="111">
        <f t="shared" si="10"/>
        <v>929.7</v>
      </c>
      <c r="J61" s="114">
        <f>SUM(I56:I61)</f>
        <v>34682.24</v>
      </c>
    </row>
    <row r="62" spans="1:10" ht="19.5">
      <c r="A62" s="108"/>
      <c r="B62" s="113" t="s">
        <v>144</v>
      </c>
      <c r="C62" s="110"/>
      <c r="D62" s="108"/>
      <c r="E62" s="110"/>
      <c r="F62" s="111">
        <f t="shared" si="0"/>
        <v>0</v>
      </c>
      <c r="G62" s="110"/>
      <c r="H62" s="111">
        <f t="shared" si="9"/>
        <v>0</v>
      </c>
      <c r="I62" s="111">
        <f aca="true" t="shared" si="11" ref="I62:I68">ROUND((F62+H62),2)</f>
        <v>0</v>
      </c>
      <c r="J62" s="108">
        <v>10</v>
      </c>
    </row>
    <row r="63" spans="1:10" ht="19.5">
      <c r="A63" s="108">
        <v>1</v>
      </c>
      <c r="B63" s="113" t="s">
        <v>130</v>
      </c>
      <c r="C63" s="110">
        <v>28.6</v>
      </c>
      <c r="D63" s="108" t="s">
        <v>11</v>
      </c>
      <c r="E63" s="110"/>
      <c r="F63" s="111">
        <f t="shared" si="0"/>
        <v>0</v>
      </c>
      <c r="G63" s="110">
        <v>17.61</v>
      </c>
      <c r="H63" s="111">
        <f aca="true" t="shared" si="12" ref="H63:H68">ROUND((G63*C63),2)</f>
        <v>503.65</v>
      </c>
      <c r="I63" s="111">
        <f t="shared" si="11"/>
        <v>503.65</v>
      </c>
      <c r="J63" s="108"/>
    </row>
    <row r="64" spans="1:10" ht="19.5">
      <c r="A64" s="108">
        <v>3</v>
      </c>
      <c r="B64" s="113" t="s">
        <v>120</v>
      </c>
      <c r="C64" s="110">
        <v>9</v>
      </c>
      <c r="D64" s="108" t="s">
        <v>124</v>
      </c>
      <c r="E64" s="110">
        <v>1023</v>
      </c>
      <c r="F64" s="111">
        <f t="shared" si="0"/>
        <v>9207</v>
      </c>
      <c r="G64" s="110">
        <v>0</v>
      </c>
      <c r="H64" s="111">
        <f t="shared" si="12"/>
        <v>0</v>
      </c>
      <c r="I64" s="111">
        <f t="shared" si="11"/>
        <v>9207</v>
      </c>
      <c r="J64" s="108"/>
    </row>
    <row r="65" spans="1:10" ht="19.5">
      <c r="A65" s="108">
        <v>3</v>
      </c>
      <c r="B65" s="113" t="s">
        <v>121</v>
      </c>
      <c r="C65" s="110">
        <v>10</v>
      </c>
      <c r="D65" s="108" t="s">
        <v>124</v>
      </c>
      <c r="E65" s="110">
        <v>1475</v>
      </c>
      <c r="F65" s="111">
        <f t="shared" si="0"/>
        <v>14750</v>
      </c>
      <c r="G65" s="110">
        <v>0</v>
      </c>
      <c r="H65" s="111">
        <f t="shared" si="12"/>
        <v>0</v>
      </c>
      <c r="I65" s="111">
        <f t="shared" si="11"/>
        <v>14750</v>
      </c>
      <c r="J65" s="108"/>
    </row>
    <row r="66" spans="1:10" ht="19.5">
      <c r="A66" s="108">
        <v>4</v>
      </c>
      <c r="B66" s="113" t="s">
        <v>122</v>
      </c>
      <c r="C66" s="110">
        <v>60</v>
      </c>
      <c r="D66" s="108" t="s">
        <v>12</v>
      </c>
      <c r="E66" s="110">
        <v>50</v>
      </c>
      <c r="F66" s="111">
        <f t="shared" si="0"/>
        <v>3000</v>
      </c>
      <c r="G66" s="110">
        <v>5</v>
      </c>
      <c r="H66" s="111">
        <f t="shared" si="12"/>
        <v>300</v>
      </c>
      <c r="I66" s="111">
        <f t="shared" si="11"/>
        <v>3300</v>
      </c>
      <c r="J66" s="108"/>
    </row>
    <row r="67" spans="1:10" ht="19.5">
      <c r="A67" s="108">
        <v>7</v>
      </c>
      <c r="B67" s="113" t="s">
        <v>126</v>
      </c>
      <c r="C67" s="110">
        <v>29</v>
      </c>
      <c r="D67" s="108" t="s">
        <v>11</v>
      </c>
      <c r="E67" s="110">
        <v>518</v>
      </c>
      <c r="F67" s="111">
        <f t="shared" si="0"/>
        <v>15022</v>
      </c>
      <c r="G67" s="110">
        <v>515</v>
      </c>
      <c r="H67" s="111">
        <f t="shared" si="12"/>
        <v>14935</v>
      </c>
      <c r="I67" s="111">
        <f t="shared" si="11"/>
        <v>29957</v>
      </c>
      <c r="J67" s="108"/>
    </row>
    <row r="68" spans="1:10" ht="19.5">
      <c r="A68" s="108">
        <v>8</v>
      </c>
      <c r="B68" s="113" t="s">
        <v>123</v>
      </c>
      <c r="C68" s="110">
        <v>1.2</v>
      </c>
      <c r="D68" s="108" t="s">
        <v>11</v>
      </c>
      <c r="E68" s="110">
        <v>518</v>
      </c>
      <c r="F68" s="111">
        <f>ROUND((C68*E68),2)</f>
        <v>621.6</v>
      </c>
      <c r="G68" s="110">
        <v>515</v>
      </c>
      <c r="H68" s="111">
        <f t="shared" si="12"/>
        <v>618</v>
      </c>
      <c r="I68" s="111">
        <f t="shared" si="11"/>
        <v>1239.6</v>
      </c>
      <c r="J68" s="114">
        <f>SUM(I63:I68)</f>
        <v>58957.25</v>
      </c>
    </row>
    <row r="69" spans="1:10" ht="19.5">
      <c r="A69" s="108"/>
      <c r="B69" s="113"/>
      <c r="C69" s="110"/>
      <c r="D69" s="108"/>
      <c r="E69" s="110"/>
      <c r="F69" s="111"/>
      <c r="G69" s="110"/>
      <c r="H69" s="111"/>
      <c r="I69" s="111"/>
      <c r="J69" s="108"/>
    </row>
    <row r="70" spans="1:10" ht="19.5">
      <c r="A70" s="108"/>
      <c r="B70" s="113"/>
      <c r="C70" s="110"/>
      <c r="D70" s="108"/>
      <c r="E70" s="110"/>
      <c r="F70" s="111"/>
      <c r="G70" s="110"/>
      <c r="H70" s="111"/>
      <c r="I70" s="111"/>
      <c r="J70" s="108"/>
    </row>
    <row r="71" spans="1:10" ht="19.5">
      <c r="A71" s="108"/>
      <c r="B71" s="113"/>
      <c r="C71" s="110"/>
      <c r="D71" s="108"/>
      <c r="E71" s="110"/>
      <c r="F71" s="111"/>
      <c r="G71" s="110"/>
      <c r="H71" s="111"/>
      <c r="I71" s="111"/>
      <c r="J71" s="108"/>
    </row>
    <row r="72" spans="1:10" ht="19.5">
      <c r="A72" s="108"/>
      <c r="B72" s="113"/>
      <c r="C72" s="110"/>
      <c r="D72" s="108"/>
      <c r="E72" s="110"/>
      <c r="F72" s="111"/>
      <c r="G72" s="110"/>
      <c r="H72" s="111"/>
      <c r="I72" s="111"/>
      <c r="J72" s="108"/>
    </row>
    <row r="73" spans="1:10" ht="19.5">
      <c r="A73" s="108"/>
      <c r="B73" s="115" t="s">
        <v>89</v>
      </c>
      <c r="C73" s="110"/>
      <c r="D73" s="108"/>
      <c r="E73" s="110"/>
      <c r="F73" s="111"/>
      <c r="G73" s="110"/>
      <c r="H73" s="111"/>
      <c r="I73" s="111">
        <f>SUM(F10:F68)</f>
        <v>256225.2</v>
      </c>
      <c r="J73" s="108"/>
    </row>
    <row r="74" spans="1:10" ht="19.5">
      <c r="A74" s="108"/>
      <c r="B74" s="115" t="s">
        <v>90</v>
      </c>
      <c r="C74" s="110"/>
      <c r="D74" s="108"/>
      <c r="E74" s="110"/>
      <c r="F74" s="111"/>
      <c r="G74" s="110"/>
      <c r="H74" s="111"/>
      <c r="I74" s="111">
        <f>SUM(H10:H68)</f>
        <v>107897.25999999998</v>
      </c>
      <c r="J74" s="108"/>
    </row>
    <row r="75" spans="1:10" ht="19.5">
      <c r="A75" s="108"/>
      <c r="B75" s="115" t="s">
        <v>91</v>
      </c>
      <c r="C75" s="110"/>
      <c r="D75" s="108"/>
      <c r="E75" s="110"/>
      <c r="F75" s="111"/>
      <c r="G75" s="110"/>
      <c r="H75" s="111"/>
      <c r="I75" s="111">
        <f>SUM(I73:I74)</f>
        <v>364122.45999999996</v>
      </c>
      <c r="J75" s="108"/>
    </row>
    <row r="76" spans="1:10" ht="19.5">
      <c r="A76" s="108"/>
      <c r="B76" s="115" t="s">
        <v>145</v>
      </c>
      <c r="C76" s="110"/>
      <c r="D76" s="108"/>
      <c r="E76" s="110"/>
      <c r="F76" s="111"/>
      <c r="G76" s="110"/>
      <c r="H76" s="111"/>
      <c r="I76" s="111">
        <f>0.3347*I75</f>
        <v>121871.78736199999</v>
      </c>
      <c r="J76" s="108"/>
    </row>
    <row r="77" spans="1:10" ht="19.5">
      <c r="A77" s="108"/>
      <c r="B77" s="115" t="s">
        <v>34</v>
      </c>
      <c r="C77" s="110"/>
      <c r="D77" s="108"/>
      <c r="E77" s="110"/>
      <c r="F77" s="111"/>
      <c r="G77" s="110"/>
      <c r="H77" s="111"/>
      <c r="I77" s="111">
        <f>SUM(I75:I76)</f>
        <v>485994.24736199994</v>
      </c>
      <c r="J77" s="108"/>
    </row>
    <row r="78" spans="1:10" ht="19.5">
      <c r="A78" s="108"/>
      <c r="B78" s="116" t="s">
        <v>94</v>
      </c>
      <c r="C78" s="110"/>
      <c r="D78" s="108"/>
      <c r="E78" s="110"/>
      <c r="F78" s="111"/>
      <c r="G78" s="110"/>
      <c r="H78" s="111"/>
      <c r="I78" s="111">
        <v>485000</v>
      </c>
      <c r="J78" s="108"/>
    </row>
    <row r="79" spans="1:10" ht="19.5">
      <c r="A79" s="108"/>
      <c r="B79" s="113"/>
      <c r="C79" s="110"/>
      <c r="D79" s="108"/>
      <c r="E79" s="110"/>
      <c r="F79" s="111"/>
      <c r="G79" s="110"/>
      <c r="H79" s="111"/>
      <c r="I79" s="111"/>
      <c r="J79" s="108"/>
    </row>
    <row r="80" spans="1:10" ht="19.5">
      <c r="A80" s="108"/>
      <c r="B80" s="113"/>
      <c r="C80" s="110"/>
      <c r="D80" s="108"/>
      <c r="E80" s="110"/>
      <c r="F80" s="111"/>
      <c r="G80" s="110"/>
      <c r="H80" s="111"/>
      <c r="I80" s="111"/>
      <c r="J80" s="108"/>
    </row>
    <row r="81" spans="1:10" ht="19.5">
      <c r="A81" s="108"/>
      <c r="B81" s="113"/>
      <c r="C81" s="110"/>
      <c r="D81" s="108"/>
      <c r="E81" s="110"/>
      <c r="F81" s="111"/>
      <c r="G81" s="110"/>
      <c r="H81" s="111"/>
      <c r="I81" s="111"/>
      <c r="J81" s="108"/>
    </row>
    <row r="82" spans="1:10" ht="19.5">
      <c r="A82" s="108"/>
      <c r="B82" s="113"/>
      <c r="C82" s="110"/>
      <c r="D82" s="108"/>
      <c r="E82" s="110"/>
      <c r="F82" s="111"/>
      <c r="G82" s="110"/>
      <c r="H82" s="111"/>
      <c r="I82" s="111"/>
      <c r="J82" s="108"/>
    </row>
    <row r="83" spans="1:10" ht="19.5">
      <c r="A83" s="108"/>
      <c r="B83" s="113"/>
      <c r="C83" s="110"/>
      <c r="D83" s="108"/>
      <c r="E83" s="110"/>
      <c r="F83" s="111"/>
      <c r="G83" s="110"/>
      <c r="H83" s="111"/>
      <c r="I83" s="111"/>
      <c r="J83" s="108"/>
    </row>
    <row r="84" spans="1:10" s="120" customFormat="1" ht="19.5">
      <c r="A84" s="117"/>
      <c r="B84" s="117"/>
      <c r="C84" s="118"/>
      <c r="D84" s="117"/>
      <c r="E84" s="118"/>
      <c r="F84" s="119"/>
      <c r="G84" s="118"/>
      <c r="H84" s="119"/>
      <c r="I84" s="119"/>
      <c r="J84" s="117"/>
    </row>
    <row r="85" spans="1:10" s="120" customFormat="1" ht="19.5">
      <c r="A85" s="117"/>
      <c r="B85" s="117"/>
      <c r="C85" s="118"/>
      <c r="D85" s="117"/>
      <c r="E85" s="118"/>
      <c r="F85" s="119"/>
      <c r="G85" s="118"/>
      <c r="H85" s="119"/>
      <c r="I85" s="119"/>
      <c r="J85" s="117"/>
    </row>
  </sheetData>
  <sheetProtection/>
  <mergeCells count="14">
    <mergeCell ref="A1:J1"/>
    <mergeCell ref="A2:I2"/>
    <mergeCell ref="A3:I3"/>
    <mergeCell ref="A4:I4"/>
    <mergeCell ref="A5:I5"/>
    <mergeCell ref="A6:I6"/>
    <mergeCell ref="J8:J9"/>
    <mergeCell ref="A7:I7"/>
    <mergeCell ref="A8:A9"/>
    <mergeCell ref="B8:B9"/>
    <mergeCell ref="C8:C9"/>
    <mergeCell ref="D8:D9"/>
    <mergeCell ref="E8:F8"/>
    <mergeCell ref="G8:H8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6"/>
  <sheetViews>
    <sheetView zoomScale="75" zoomScaleNormal="75" zoomScalePageLayoutView="0" workbookViewId="0" topLeftCell="A37">
      <selection activeCell="C63" sqref="C63"/>
    </sheetView>
  </sheetViews>
  <sheetFormatPr defaultColWidth="9.140625" defaultRowHeight="21.75"/>
  <cols>
    <col min="1" max="1" width="7.7109375" style="1" customWidth="1"/>
    <col min="2" max="2" width="48.7109375" style="1" customWidth="1"/>
    <col min="3" max="3" width="30.7109375" style="1" customWidth="1"/>
    <col min="4" max="4" width="16.7109375" style="1" customWidth="1"/>
    <col min="5" max="16384" width="9.140625" style="1" customWidth="1"/>
  </cols>
  <sheetData>
    <row r="1" ht="23.25">
      <c r="D1" s="1" t="s">
        <v>22</v>
      </c>
    </row>
    <row r="2" spans="1:4" ht="23.25">
      <c r="A2" s="5" t="s">
        <v>32</v>
      </c>
      <c r="B2" s="5"/>
      <c r="C2" s="5"/>
      <c r="D2" s="5"/>
    </row>
    <row r="3" spans="1:4" ht="23.25">
      <c r="A3" s="6" t="s">
        <v>6</v>
      </c>
      <c r="B3" s="6"/>
      <c r="C3" s="6"/>
      <c r="D3" s="6"/>
    </row>
    <row r="4" spans="1:4" ht="23.25">
      <c r="A4" s="6" t="s">
        <v>7</v>
      </c>
      <c r="B4" s="6"/>
      <c r="C4" s="6" t="s">
        <v>8</v>
      </c>
      <c r="D4" s="6"/>
    </row>
    <row r="5" spans="1:4" ht="23.25">
      <c r="A5" s="6" t="s">
        <v>9</v>
      </c>
      <c r="B5" s="6"/>
      <c r="C5" s="6" t="s">
        <v>10</v>
      </c>
      <c r="D5" s="6"/>
    </row>
    <row r="6" spans="1:4" ht="23.25">
      <c r="A6" s="6" t="s">
        <v>23</v>
      </c>
      <c r="B6" s="6"/>
      <c r="C6" s="6" t="s">
        <v>24</v>
      </c>
      <c r="D6" s="6"/>
    </row>
    <row r="7" spans="1:4" ht="24" thickBot="1">
      <c r="A7" s="4"/>
      <c r="B7" s="4"/>
      <c r="C7" s="4"/>
      <c r="D7" s="4"/>
    </row>
    <row r="8" spans="1:4" ht="24" thickTop="1">
      <c r="A8" s="8" t="s">
        <v>5</v>
      </c>
      <c r="B8" s="8" t="s">
        <v>0</v>
      </c>
      <c r="C8" s="8" t="s">
        <v>20</v>
      </c>
      <c r="D8" s="8" t="s">
        <v>4</v>
      </c>
    </row>
    <row r="9" spans="1:4" ht="24" thickBot="1">
      <c r="A9" s="3"/>
      <c r="B9" s="3"/>
      <c r="C9" s="3" t="s">
        <v>21</v>
      </c>
      <c r="D9" s="3"/>
    </row>
    <row r="10" spans="1:4" ht="24" thickTop="1">
      <c r="A10" s="7"/>
      <c r="B10" s="9"/>
      <c r="C10" s="7"/>
      <c r="D10" s="7"/>
    </row>
    <row r="11" spans="1:4" ht="23.25">
      <c r="A11" s="2"/>
      <c r="B11" s="2"/>
      <c r="C11" s="2"/>
      <c r="D11" s="2"/>
    </row>
    <row r="12" spans="1:4" ht="23.25">
      <c r="A12" s="2"/>
      <c r="B12" s="2"/>
      <c r="C12" s="11"/>
      <c r="D12" s="2"/>
    </row>
    <row r="13" spans="1:4" ht="23.25">
      <c r="A13" s="2"/>
      <c r="B13" s="2"/>
      <c r="C13" s="12"/>
      <c r="D13" s="2"/>
    </row>
    <row r="14" spans="1:4" ht="23.25">
      <c r="A14" s="2"/>
      <c r="B14" s="2"/>
      <c r="D14" s="2"/>
    </row>
    <row r="15" spans="1:4" ht="23.25">
      <c r="A15" s="2"/>
      <c r="B15" s="2"/>
      <c r="C15" s="2"/>
      <c r="D15" s="2"/>
    </row>
    <row r="16" spans="1:4" ht="23.25">
      <c r="A16" s="2"/>
      <c r="B16" s="10"/>
      <c r="C16" s="2"/>
      <c r="D16" s="2"/>
    </row>
    <row r="17" spans="1:4" ht="23.25">
      <c r="A17" s="2"/>
      <c r="B17" s="2"/>
      <c r="C17" s="2"/>
      <c r="D17" s="2"/>
    </row>
    <row r="18" spans="1:4" ht="23.25">
      <c r="A18" s="2"/>
      <c r="B18" s="2"/>
      <c r="C18" s="2"/>
      <c r="D18" s="2"/>
    </row>
    <row r="19" spans="1:4" ht="23.25">
      <c r="A19" s="2"/>
      <c r="B19" s="2"/>
      <c r="C19" s="2"/>
      <c r="D19" s="2"/>
    </row>
    <row r="20" spans="1:4" ht="23.25">
      <c r="A20" s="2"/>
      <c r="B20" s="2"/>
      <c r="C20" s="2"/>
      <c r="D20" s="2"/>
    </row>
    <row r="21" spans="1:4" ht="23.25">
      <c r="A21" s="2"/>
      <c r="B21" s="2"/>
      <c r="C21" s="2"/>
      <c r="D21" s="2"/>
    </row>
    <row r="22" spans="1:4" ht="23.25">
      <c r="A22" s="2"/>
      <c r="B22" s="2"/>
      <c r="C22" s="2"/>
      <c r="D22" s="2"/>
    </row>
    <row r="23" spans="1:4" ht="23.25">
      <c r="A23" s="2"/>
      <c r="B23" s="2"/>
      <c r="C23" s="2"/>
      <c r="D23" s="2"/>
    </row>
    <row r="24" spans="1:4" ht="23.25">
      <c r="A24" s="2"/>
      <c r="B24" s="2"/>
      <c r="C24" s="2"/>
      <c r="D24" s="2"/>
    </row>
    <row r="26" ht="23.25">
      <c r="B26" s="1" t="s">
        <v>18</v>
      </c>
    </row>
    <row r="27" ht="23.25">
      <c r="B27" s="1" t="s">
        <v>16</v>
      </c>
    </row>
    <row r="29" ht="23.25">
      <c r="B29" s="1" t="s">
        <v>17</v>
      </c>
    </row>
    <row r="30" ht="23.25">
      <c r="B30" s="1" t="s">
        <v>16</v>
      </c>
    </row>
    <row r="32" ht="23.25">
      <c r="B32" s="1" t="s">
        <v>15</v>
      </c>
    </row>
    <row r="33" ht="23.25">
      <c r="B33" s="1" t="s">
        <v>16</v>
      </c>
    </row>
    <row r="36" ht="23.25">
      <c r="D36" s="1" t="s">
        <v>22</v>
      </c>
    </row>
    <row r="37" spans="1:4" ht="23.25">
      <c r="A37" s="5" t="s">
        <v>41</v>
      </c>
      <c r="B37" s="5"/>
      <c r="C37" s="5"/>
      <c r="D37" s="5"/>
    </row>
    <row r="38" spans="1:4" ht="23.25">
      <c r="A38" s="6" t="s">
        <v>42</v>
      </c>
      <c r="B38" s="6"/>
      <c r="C38" s="6"/>
      <c r="D38" s="6"/>
    </row>
    <row r="39" spans="1:4" ht="23.25">
      <c r="A39" s="6" t="s">
        <v>43</v>
      </c>
      <c r="B39" s="6"/>
      <c r="C39" s="6" t="s">
        <v>44</v>
      </c>
      <c r="D39" s="6"/>
    </row>
    <row r="40" spans="1:4" ht="23.25">
      <c r="A40" s="6" t="s">
        <v>47</v>
      </c>
      <c r="B40" s="6"/>
      <c r="C40" s="6" t="s">
        <v>45</v>
      </c>
      <c r="D40" s="6"/>
    </row>
    <row r="41" spans="1:4" ht="23.25">
      <c r="A41" s="6" t="s">
        <v>46</v>
      </c>
      <c r="B41" s="6"/>
      <c r="C41" s="6"/>
      <c r="D41" s="6"/>
    </row>
    <row r="42" spans="1:4" ht="24" thickBot="1">
      <c r="A42" s="4"/>
      <c r="B42" s="4"/>
      <c r="C42" s="4"/>
      <c r="D42" s="4"/>
    </row>
    <row r="43" spans="1:4" ht="24" thickTop="1">
      <c r="A43" s="8" t="s">
        <v>5</v>
      </c>
      <c r="B43" s="8" t="s">
        <v>0</v>
      </c>
      <c r="C43" s="8" t="s">
        <v>20</v>
      </c>
      <c r="D43" s="8" t="s">
        <v>4</v>
      </c>
    </row>
    <row r="44" spans="1:4" ht="24" thickBot="1">
      <c r="A44" s="3"/>
      <c r="B44" s="3"/>
      <c r="C44" s="3" t="s">
        <v>21</v>
      </c>
      <c r="D44" s="3"/>
    </row>
    <row r="45" spans="1:4" ht="24" thickTop="1">
      <c r="A45" s="7"/>
      <c r="B45" s="9" t="s">
        <v>28</v>
      </c>
      <c r="C45" s="7"/>
      <c r="D45" s="7"/>
    </row>
    <row r="46" spans="1:4" ht="23.25">
      <c r="A46" s="2"/>
      <c r="B46" s="2" t="s">
        <v>29</v>
      </c>
      <c r="C46" s="2"/>
      <c r="D46" s="2"/>
    </row>
    <row r="47" spans="1:4" ht="23.25">
      <c r="A47" s="2"/>
      <c r="B47" s="2" t="s">
        <v>30</v>
      </c>
      <c r="C47" s="11">
        <v>897296</v>
      </c>
      <c r="D47" s="2"/>
    </row>
    <row r="48" spans="1:4" ht="23.25">
      <c r="A48" s="2"/>
      <c r="B48" s="2" t="s">
        <v>31</v>
      </c>
      <c r="C48" s="12">
        <v>170985.66</v>
      </c>
      <c r="D48" s="2"/>
    </row>
    <row r="49" spans="1:4" ht="23.25">
      <c r="A49" s="2"/>
      <c r="C49" s="2"/>
      <c r="D49" s="2"/>
    </row>
    <row r="50" spans="1:4" ht="23.25">
      <c r="A50" s="2"/>
      <c r="B50" s="10" t="s">
        <v>25</v>
      </c>
      <c r="C50" s="11">
        <f>SUM(C47:C49)</f>
        <v>1068281.66</v>
      </c>
      <c r="D50" s="2"/>
    </row>
    <row r="51" spans="1:4" ht="23.25">
      <c r="A51" s="2"/>
      <c r="C51" s="2"/>
      <c r="D51" s="2"/>
    </row>
    <row r="52" spans="1:4" ht="23.25">
      <c r="A52" s="2"/>
      <c r="B52" s="2"/>
      <c r="C52" s="2"/>
      <c r="D52" s="2"/>
    </row>
    <row r="53" spans="1:4" ht="23.25">
      <c r="A53" s="2"/>
      <c r="B53" s="6" t="s">
        <v>13</v>
      </c>
      <c r="C53" s="11">
        <f>C50</f>
        <v>1068281.66</v>
      </c>
      <c r="D53" s="2"/>
    </row>
    <row r="54" spans="1:4" ht="23.25">
      <c r="A54" s="2"/>
      <c r="B54" s="6" t="s">
        <v>14</v>
      </c>
      <c r="C54" s="12">
        <v>1068000</v>
      </c>
      <c r="D54" s="2"/>
    </row>
    <row r="55" spans="1:4" ht="23.25">
      <c r="A55" s="2"/>
      <c r="B55" s="6" t="s">
        <v>33</v>
      </c>
      <c r="C55" s="2"/>
      <c r="D55" s="2"/>
    </row>
    <row r="56" spans="1:4" ht="23.25">
      <c r="A56" s="2"/>
      <c r="B56" s="2"/>
      <c r="C56" s="2"/>
      <c r="D56" s="2"/>
    </row>
    <row r="59" ht="23.25">
      <c r="B59" s="1" t="s">
        <v>35</v>
      </c>
    </row>
    <row r="60" ht="23.25">
      <c r="B60" s="1" t="s">
        <v>36</v>
      </c>
    </row>
    <row r="62" ht="23.25">
      <c r="B62" s="1" t="s">
        <v>37</v>
      </c>
    </row>
    <row r="63" ht="23.25">
      <c r="B63" s="1" t="s">
        <v>38</v>
      </c>
    </row>
    <row r="65" ht="23.25">
      <c r="B65" s="1" t="s">
        <v>39</v>
      </c>
    </row>
    <row r="66" ht="23.25">
      <c r="B66" s="1" t="s">
        <v>40</v>
      </c>
    </row>
  </sheetData>
  <sheetProtection/>
  <printOptions/>
  <pageMargins left="0.5511811023622047" right="0.15748031496062992" top="0.7874015748031497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1"/>
  <sheetViews>
    <sheetView view="pageBreakPreview" zoomScaleSheetLayoutView="100" zoomScalePageLayoutView="0" workbookViewId="0" topLeftCell="A29">
      <selection activeCell="F17" sqref="F17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8.28125" style="14" customWidth="1"/>
    <col min="4" max="4" width="13.8515625" style="78" customWidth="1"/>
    <col min="5" max="5" width="11.28125" style="14" customWidth="1"/>
    <col min="6" max="6" width="13.28125" style="14" customWidth="1"/>
    <col min="7" max="7" width="9.421875" style="14" customWidth="1"/>
    <col min="8" max="8" width="11.42187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352" t="str">
        <f>'ปร.4(งานทาง)'!A1:J1</f>
        <v>บัญชีสรุปราคางานก่อสร้าง</v>
      </c>
      <c r="B1" s="353"/>
      <c r="C1" s="353"/>
      <c r="D1" s="353"/>
      <c r="E1" s="353"/>
      <c r="F1" s="353"/>
      <c r="G1" s="353"/>
      <c r="H1" s="69" t="s">
        <v>312</v>
      </c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352" t="str">
        <f>'ปร.4(งานทาง)'!A2:I2</f>
        <v>หน่วยงานเจ้าของโครงการ  :  กองช่าง องค์การบริการส่วนตำบลป่ากลางอำเภอปัว  จังหวัดน่าน</v>
      </c>
      <c r="B2" s="353"/>
      <c r="C2" s="353"/>
      <c r="D2" s="353"/>
      <c r="E2" s="353"/>
      <c r="F2" s="353"/>
      <c r="G2" s="353"/>
      <c r="H2" s="401"/>
    </row>
    <row r="3" spans="1:8" ht="19.5">
      <c r="A3" s="352" t="str">
        <f>'ปร.4(งานทาง)'!A3:I3</f>
        <v>ชื่อโครงการ     : ก่อสร้างราวกันตกถนน บ้านจูน หมู่ที่ 4 </v>
      </c>
      <c r="B3" s="353"/>
      <c r="C3" s="353"/>
      <c r="D3" s="353"/>
      <c r="E3" s="353"/>
      <c r="F3" s="353"/>
      <c r="G3" s="353"/>
      <c r="H3" s="401"/>
    </row>
    <row r="4" spans="1:8" ht="19.5">
      <c r="A4" s="352" t="str">
        <f>'ปร.4(งานทาง)'!A4:I4</f>
        <v>สถานที่ก่อสร้าง : บ้านจูน  หมู่ที่ 4 ตำบลป่ากลาง  อำเภอปัว จังหวัดน่าน</v>
      </c>
      <c r="B4" s="353"/>
      <c r="C4" s="353"/>
      <c r="D4" s="353"/>
      <c r="E4" s="353"/>
      <c r="F4" s="353"/>
      <c r="G4" s="353"/>
      <c r="H4" s="401"/>
    </row>
    <row r="5" spans="1:8" ht="19.5">
      <c r="A5" s="352" t="str">
        <f>'ปร.4(งานทาง)'!A5:I5</f>
        <v>ประมาณราคา   : วันที่ 10  เดือน กรกฎาคม  พ.ศ.2561</v>
      </c>
      <c r="B5" s="353"/>
      <c r="C5" s="353"/>
      <c r="D5" s="353"/>
      <c r="E5" s="353"/>
      <c r="F5" s="353"/>
      <c r="G5" s="353"/>
      <c r="H5" s="401"/>
    </row>
    <row r="6" spans="1:8" ht="19.5">
      <c r="A6" s="352" t="str">
        <f>'ปร.4(งานทาง)'!A6:I6</f>
        <v>ปริมาณงาน : ก่อสร้างราวกันตก จำนวน 2 จุด ความยาวรวม 248 เมตร </v>
      </c>
      <c r="B6" s="353"/>
      <c r="C6" s="353"/>
      <c r="D6" s="353"/>
      <c r="E6" s="353"/>
      <c r="F6" s="353"/>
      <c r="G6" s="353"/>
      <c r="H6" s="401"/>
    </row>
    <row r="7" spans="1:8" ht="21.75" customHeight="1" thickBot="1">
      <c r="A7" s="410" t="s">
        <v>307</v>
      </c>
      <c r="B7" s="411"/>
      <c r="C7" s="411"/>
      <c r="D7" s="411"/>
      <c r="E7" s="411"/>
      <c r="F7" s="411"/>
      <c r="G7" s="412" t="str">
        <f>'ปร.4(งานทาง)'!J7</f>
        <v>จำนวน   4    แผ่น</v>
      </c>
      <c r="H7" s="412"/>
    </row>
    <row r="8" spans="1:8" ht="19.5">
      <c r="A8" s="397" t="s">
        <v>5</v>
      </c>
      <c r="B8" s="397" t="s">
        <v>0</v>
      </c>
      <c r="C8" s="397"/>
      <c r="D8" s="70" t="s">
        <v>63</v>
      </c>
      <c r="E8" s="46" t="s">
        <v>64</v>
      </c>
      <c r="F8" s="47" t="s">
        <v>34</v>
      </c>
      <c r="G8" s="413" t="s">
        <v>4</v>
      </c>
      <c r="H8" s="413"/>
    </row>
    <row r="9" spans="1:8" ht="20.25" thickBot="1">
      <c r="A9" s="398"/>
      <c r="B9" s="398"/>
      <c r="C9" s="398"/>
      <c r="D9" s="71" t="s">
        <v>65</v>
      </c>
      <c r="E9" s="37" t="s">
        <v>21</v>
      </c>
      <c r="F9" s="37" t="s">
        <v>21</v>
      </c>
      <c r="G9" s="398"/>
      <c r="H9" s="398"/>
    </row>
    <row r="10" spans="1:8" ht="20.25" thickTop="1">
      <c r="A10" s="15">
        <v>1</v>
      </c>
      <c r="B10" s="399" t="s">
        <v>310</v>
      </c>
      <c r="C10" s="400"/>
      <c r="D10" s="72">
        <f>'ปร.4(งานทาง)'!G45</f>
        <v>272645.47000000003</v>
      </c>
      <c r="E10" s="73">
        <v>2222</v>
      </c>
      <c r="F10" s="48">
        <f>ROUND((D10*E10),2)</f>
        <v>605818234.34</v>
      </c>
      <c r="G10" s="399" t="s">
        <v>66</v>
      </c>
      <c r="H10" s="400"/>
    </row>
    <row r="11" spans="1:8" ht="19.5">
      <c r="A11" s="17"/>
      <c r="B11" s="389"/>
      <c r="C11" s="390"/>
      <c r="D11" s="75"/>
      <c r="E11" s="74"/>
      <c r="F11" s="52"/>
      <c r="G11" s="389" t="s">
        <v>155</v>
      </c>
      <c r="H11" s="390"/>
    </row>
    <row r="12" spans="1:8" ht="19.5">
      <c r="A12" s="17"/>
      <c r="B12" s="389"/>
      <c r="C12" s="390"/>
      <c r="D12" s="75"/>
      <c r="E12" s="51"/>
      <c r="F12" s="75"/>
      <c r="G12" s="389" t="s">
        <v>71</v>
      </c>
      <c r="H12" s="390"/>
    </row>
    <row r="13" spans="1:8" ht="19.5">
      <c r="A13" s="17"/>
      <c r="B13" s="366"/>
      <c r="C13" s="368"/>
      <c r="D13" s="75"/>
      <c r="E13" s="51"/>
      <c r="F13" s="50"/>
      <c r="G13" s="389" t="s">
        <v>154</v>
      </c>
      <c r="H13" s="390"/>
    </row>
    <row r="14" spans="1:8" ht="19.5">
      <c r="A14" s="50"/>
      <c r="B14" s="366"/>
      <c r="C14" s="368"/>
      <c r="D14" s="75"/>
      <c r="E14" s="51"/>
      <c r="F14" s="50"/>
      <c r="G14" s="389" t="s">
        <v>67</v>
      </c>
      <c r="H14" s="390"/>
    </row>
    <row r="15" spans="1:8" ht="19.5">
      <c r="A15" s="50"/>
      <c r="B15" s="366"/>
      <c r="C15" s="368"/>
      <c r="D15" s="75"/>
      <c r="E15" s="51"/>
      <c r="F15" s="50"/>
      <c r="G15" s="44" t="s">
        <v>314</v>
      </c>
      <c r="H15" s="45"/>
    </row>
    <row r="16" spans="1:8" ht="19.5">
      <c r="A16" s="50"/>
      <c r="B16" s="18"/>
      <c r="C16" s="49"/>
      <c r="D16" s="75"/>
      <c r="E16" s="51"/>
      <c r="F16" s="50"/>
      <c r="G16" s="389" t="s">
        <v>313</v>
      </c>
      <c r="H16" s="390"/>
    </row>
    <row r="17" spans="1:8" ht="20.25" thickBot="1">
      <c r="A17" s="50"/>
      <c r="B17" s="366"/>
      <c r="C17" s="368"/>
      <c r="D17" s="75"/>
      <c r="E17" s="51"/>
      <c r="F17" s="50"/>
      <c r="G17" s="389" t="s">
        <v>315</v>
      </c>
      <c r="H17" s="390"/>
    </row>
    <row r="18" spans="1:8" ht="21" thickBot="1" thickTop="1">
      <c r="A18" s="405" t="s">
        <v>264</v>
      </c>
      <c r="B18" s="406"/>
      <c r="C18" s="406"/>
      <c r="D18" s="406"/>
      <c r="E18" s="407"/>
      <c r="F18" s="201">
        <f>SUM(F10:F17)</f>
        <v>605818234.34</v>
      </c>
      <c r="G18" s="378" t="s">
        <v>101</v>
      </c>
      <c r="H18" s="379"/>
    </row>
    <row r="19" spans="1:8" ht="21" thickBot="1" thickTop="1">
      <c r="A19" s="405" t="s">
        <v>94</v>
      </c>
      <c r="B19" s="406"/>
      <c r="C19" s="406"/>
      <c r="D19" s="406"/>
      <c r="E19" s="407"/>
      <c r="F19" s="200">
        <v>370000</v>
      </c>
      <c r="G19" s="383" t="s">
        <v>260</v>
      </c>
      <c r="H19" s="384"/>
    </row>
    <row r="20" spans="1:8" ht="24" customHeight="1" thickBot="1" thickTop="1">
      <c r="A20" s="56" t="s">
        <v>68</v>
      </c>
      <c r="B20" s="385" t="str">
        <f>CONCATENATE("(",_xlfn.BAHTTEXT(F19),")")</f>
        <v>(สามแสนเจ็ดหมื่นบาทถ้วน)</v>
      </c>
      <c r="C20" s="385"/>
      <c r="D20" s="385"/>
      <c r="E20" s="385"/>
      <c r="F20" s="386"/>
      <c r="G20" s="127"/>
      <c r="H20" s="128"/>
    </row>
    <row r="21" spans="1:8" ht="24" customHeight="1" thickBot="1" thickTop="1">
      <c r="A21" s="56" t="s">
        <v>156</v>
      </c>
      <c r="B21" s="127"/>
      <c r="C21" s="408" t="s">
        <v>293</v>
      </c>
      <c r="D21" s="408"/>
      <c r="E21" s="408"/>
      <c r="F21" s="408"/>
      <c r="G21" s="408"/>
      <c r="H21" s="409"/>
    </row>
    <row r="22" spans="1:8" ht="23.25" customHeight="1" thickTop="1">
      <c r="A22" s="372"/>
      <c r="B22" s="373"/>
      <c r="C22" s="373"/>
      <c r="D22" s="373"/>
      <c r="E22" s="373"/>
      <c r="F22" s="373"/>
      <c r="G22" s="373"/>
      <c r="H22" s="374"/>
    </row>
    <row r="23" spans="1:8" ht="19.5">
      <c r="A23" s="366" t="s">
        <v>247</v>
      </c>
      <c r="B23" s="367"/>
      <c r="C23" s="367"/>
      <c r="D23" s="367"/>
      <c r="E23" s="367"/>
      <c r="F23" s="367"/>
      <c r="G23" s="367"/>
      <c r="H23" s="368"/>
    </row>
    <row r="24" spans="1:8" ht="19.5">
      <c r="A24" s="366" t="s">
        <v>294</v>
      </c>
      <c r="B24" s="367"/>
      <c r="C24" s="367"/>
      <c r="D24" s="367"/>
      <c r="E24" s="367"/>
      <c r="F24" s="367"/>
      <c r="G24" s="367"/>
      <c r="H24" s="368"/>
    </row>
    <row r="25" spans="1:8" ht="19.5">
      <c r="A25" s="366" t="s">
        <v>295</v>
      </c>
      <c r="B25" s="367"/>
      <c r="C25" s="367"/>
      <c r="D25" s="367"/>
      <c r="E25" s="367"/>
      <c r="F25" s="367"/>
      <c r="G25" s="367"/>
      <c r="H25" s="368"/>
    </row>
    <row r="26" spans="1:8" ht="19.5">
      <c r="A26" s="366"/>
      <c r="B26" s="367"/>
      <c r="C26" s="367"/>
      <c r="D26" s="367"/>
      <c r="E26" s="367"/>
      <c r="F26" s="367"/>
      <c r="G26" s="367"/>
      <c r="H26" s="368"/>
    </row>
    <row r="27" spans="1:8" ht="19.5">
      <c r="A27" s="366" t="s">
        <v>306</v>
      </c>
      <c r="B27" s="367"/>
      <c r="C27" s="367"/>
      <c r="D27" s="367"/>
      <c r="E27" s="367"/>
      <c r="F27" s="367"/>
      <c r="G27" s="367"/>
      <c r="H27" s="368"/>
    </row>
    <row r="28" spans="1:8" ht="19.5">
      <c r="A28" s="366" t="s">
        <v>103</v>
      </c>
      <c r="B28" s="367"/>
      <c r="C28" s="367"/>
      <c r="D28" s="367"/>
      <c r="E28" s="367"/>
      <c r="F28" s="367"/>
      <c r="G28" s="367"/>
      <c r="H28" s="368"/>
    </row>
    <row r="29" spans="1:8" ht="19.5">
      <c r="A29" s="366" t="s">
        <v>111</v>
      </c>
      <c r="B29" s="367"/>
      <c r="C29" s="367"/>
      <c r="D29" s="367"/>
      <c r="E29" s="367"/>
      <c r="F29" s="367"/>
      <c r="G29" s="367"/>
      <c r="H29" s="368"/>
    </row>
    <row r="30" spans="1:8" ht="19.5">
      <c r="A30" s="366"/>
      <c r="B30" s="367"/>
      <c r="C30" s="367"/>
      <c r="D30" s="367"/>
      <c r="E30" s="367"/>
      <c r="F30" s="367"/>
      <c r="G30" s="367"/>
      <c r="H30" s="368"/>
    </row>
    <row r="31" spans="1:8" ht="19.5">
      <c r="A31" s="366" t="s">
        <v>298</v>
      </c>
      <c r="B31" s="367"/>
      <c r="C31" s="367"/>
      <c r="D31" s="367"/>
      <c r="E31" s="367"/>
      <c r="F31" s="367"/>
      <c r="G31" s="367"/>
      <c r="H31" s="368"/>
    </row>
    <row r="32" spans="1:8" ht="19.5">
      <c r="A32" s="366" t="s">
        <v>296</v>
      </c>
      <c r="B32" s="367"/>
      <c r="C32" s="367"/>
      <c r="D32" s="367"/>
      <c r="E32" s="367"/>
      <c r="F32" s="367"/>
      <c r="G32" s="367"/>
      <c r="H32" s="368"/>
    </row>
    <row r="33" spans="1:8" ht="19.5">
      <c r="A33" s="366" t="s">
        <v>158</v>
      </c>
      <c r="B33" s="367"/>
      <c r="C33" s="367"/>
      <c r="D33" s="367"/>
      <c r="E33" s="367"/>
      <c r="F33" s="367"/>
      <c r="G33" s="367"/>
      <c r="H33" s="368"/>
    </row>
    <row r="34" spans="1:8" ht="19.5">
      <c r="A34" s="366" t="s">
        <v>299</v>
      </c>
      <c r="B34" s="367"/>
      <c r="C34" s="367"/>
      <c r="D34" s="367"/>
      <c r="E34" s="367"/>
      <c r="F34" s="367"/>
      <c r="G34" s="367"/>
      <c r="H34" s="368"/>
    </row>
    <row r="35" spans="1:8" ht="19.5">
      <c r="A35" s="366" t="s">
        <v>297</v>
      </c>
      <c r="B35" s="367"/>
      <c r="C35" s="367"/>
      <c r="D35" s="367"/>
      <c r="E35" s="367"/>
      <c r="F35" s="367"/>
      <c r="G35" s="367"/>
      <c r="H35" s="368"/>
    </row>
    <row r="36" spans="1:8" ht="19.5">
      <c r="A36" s="366" t="s">
        <v>160</v>
      </c>
      <c r="B36" s="367"/>
      <c r="C36" s="367"/>
      <c r="D36" s="367"/>
      <c r="E36" s="367"/>
      <c r="F36" s="367"/>
      <c r="G36" s="367"/>
      <c r="H36" s="368"/>
    </row>
    <row r="37" spans="1:8" ht="19.5">
      <c r="A37" s="18"/>
      <c r="B37" s="13"/>
      <c r="C37" s="13"/>
      <c r="D37" s="13"/>
      <c r="E37" s="13"/>
      <c r="F37" s="13"/>
      <c r="G37" s="13"/>
      <c r="H37" s="49"/>
    </row>
    <row r="38" spans="1:8" ht="19.5">
      <c r="A38" s="18"/>
      <c r="B38" s="13"/>
      <c r="C38" s="13"/>
      <c r="D38" s="13"/>
      <c r="E38" s="13"/>
      <c r="F38" s="13"/>
      <c r="G38" s="13"/>
      <c r="H38" s="49"/>
    </row>
    <row r="39" spans="1:8" ht="19.5">
      <c r="A39" s="202"/>
      <c r="B39" s="203"/>
      <c r="C39" s="203"/>
      <c r="D39" s="203"/>
      <c r="E39" s="203"/>
      <c r="F39" s="203"/>
      <c r="G39" s="203"/>
      <c r="H39" s="204"/>
    </row>
    <row r="40" spans="1:8" ht="19.5">
      <c r="A40" s="18"/>
      <c r="B40" s="13"/>
      <c r="C40" s="13"/>
      <c r="D40" s="13"/>
      <c r="E40" s="13"/>
      <c r="F40" s="13"/>
      <c r="G40" s="13"/>
      <c r="H40" s="49"/>
    </row>
    <row r="41" spans="1:6" ht="19.5">
      <c r="A41" s="18"/>
      <c r="B41" s="13"/>
      <c r="C41" s="13"/>
      <c r="D41" s="13"/>
      <c r="E41" s="13"/>
      <c r="F41" s="13"/>
    </row>
  </sheetData>
  <sheetProtection/>
  <mergeCells count="46">
    <mergeCell ref="A1:G1"/>
    <mergeCell ref="A2:H2"/>
    <mergeCell ref="A3:H3"/>
    <mergeCell ref="A4:H4"/>
    <mergeCell ref="A5:H5"/>
    <mergeCell ref="A6:H6"/>
    <mergeCell ref="A7:F7"/>
    <mergeCell ref="G7:H7"/>
    <mergeCell ref="A8:A9"/>
    <mergeCell ref="B8:C9"/>
    <mergeCell ref="G8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17:C17"/>
    <mergeCell ref="G17:H17"/>
    <mergeCell ref="A18:E18"/>
    <mergeCell ref="G18:H18"/>
    <mergeCell ref="A26:H26"/>
    <mergeCell ref="A27:H27"/>
    <mergeCell ref="A28:H28"/>
    <mergeCell ref="A29:H29"/>
    <mergeCell ref="A19:E19"/>
    <mergeCell ref="G19:H19"/>
    <mergeCell ref="B20:F20"/>
    <mergeCell ref="C21:H21"/>
    <mergeCell ref="A22:H22"/>
    <mergeCell ref="A23:H23"/>
    <mergeCell ref="A36:H36"/>
    <mergeCell ref="G16:H16"/>
    <mergeCell ref="A30:H30"/>
    <mergeCell ref="A31:H31"/>
    <mergeCell ref="A32:H32"/>
    <mergeCell ref="A33:H33"/>
    <mergeCell ref="A34:H34"/>
    <mergeCell ref="A35:H35"/>
    <mergeCell ref="A24:H24"/>
    <mergeCell ref="A25:H25"/>
  </mergeCells>
  <printOptions/>
  <pageMargins left="0.5905511811023623" right="0" top="0.7874015748031497" bottom="0.3937007874015748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0"/>
  <sheetViews>
    <sheetView view="pageBreakPreview" zoomScaleSheetLayoutView="100" zoomScalePageLayoutView="0" workbookViewId="0" topLeftCell="A21">
      <selection activeCell="A21" sqref="A21:H21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8.28125" style="14" customWidth="1"/>
    <col min="4" max="4" width="13.8515625" style="78" customWidth="1"/>
    <col min="5" max="5" width="11.28125" style="14" customWidth="1"/>
    <col min="6" max="6" width="13.28125" style="14" customWidth="1"/>
    <col min="7" max="7" width="9.421875" style="14" customWidth="1"/>
    <col min="8" max="8" width="11.42187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352" t="str">
        <f>'ปร.4(งานทาง)'!A1:J1</f>
        <v>บัญชีสรุปราคางานก่อสร้าง</v>
      </c>
      <c r="B1" s="353"/>
      <c r="C1" s="353"/>
      <c r="D1" s="353"/>
      <c r="E1" s="353"/>
      <c r="F1" s="353"/>
      <c r="G1" s="353"/>
      <c r="H1" s="69" t="s">
        <v>312</v>
      </c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352" t="str">
        <f>'ปร.4(งานทาง)'!A2:I2</f>
        <v>หน่วยงานเจ้าของโครงการ  :  กองช่าง องค์การบริการส่วนตำบลป่ากลางอำเภอปัว  จังหวัดน่าน</v>
      </c>
      <c r="B2" s="353"/>
      <c r="C2" s="353"/>
      <c r="D2" s="353"/>
      <c r="E2" s="353"/>
      <c r="F2" s="353"/>
      <c r="G2" s="353"/>
      <c r="H2" s="401"/>
    </row>
    <row r="3" spans="1:8" ht="19.5">
      <c r="A3" s="352" t="str">
        <f>'ปร.4(งานทาง)'!A3:I3</f>
        <v>ชื่อโครงการ     : ก่อสร้างราวกันตกถนน บ้านจูน หมู่ที่ 4 </v>
      </c>
      <c r="B3" s="353"/>
      <c r="C3" s="353"/>
      <c r="D3" s="353"/>
      <c r="E3" s="353"/>
      <c r="F3" s="353"/>
      <c r="G3" s="353"/>
      <c r="H3" s="401"/>
    </row>
    <row r="4" spans="1:8" ht="19.5">
      <c r="A4" s="352" t="str">
        <f>'ปร.4(งานทาง)'!A4:I4</f>
        <v>สถานที่ก่อสร้าง : บ้านจูน  หมู่ที่ 4 ตำบลป่ากลาง  อำเภอปัว จังหวัดน่าน</v>
      </c>
      <c r="B4" s="353"/>
      <c r="C4" s="353"/>
      <c r="D4" s="353"/>
      <c r="E4" s="353"/>
      <c r="F4" s="353"/>
      <c r="G4" s="353"/>
      <c r="H4" s="401"/>
    </row>
    <row r="5" spans="1:8" ht="19.5">
      <c r="A5" s="352" t="str">
        <f>'ปร.4(งานทาง)'!A5:I5</f>
        <v>ประมาณราคา   : วันที่ 10  เดือน กรกฎาคม  พ.ศ.2561</v>
      </c>
      <c r="B5" s="353"/>
      <c r="C5" s="353"/>
      <c r="D5" s="353"/>
      <c r="E5" s="353"/>
      <c r="F5" s="353"/>
      <c r="G5" s="353"/>
      <c r="H5" s="401"/>
    </row>
    <row r="6" spans="1:8" ht="19.5">
      <c r="A6" s="352" t="str">
        <f>'ปร.4(งานทาง)'!A6:I6</f>
        <v>ปริมาณงาน : ก่อสร้างราวกันตก จำนวน 2 จุด ความยาวรวม 248 เมตร </v>
      </c>
      <c r="B6" s="353"/>
      <c r="C6" s="353"/>
      <c r="D6" s="353"/>
      <c r="E6" s="353"/>
      <c r="F6" s="353"/>
      <c r="G6" s="353"/>
      <c r="H6" s="401"/>
    </row>
    <row r="7" spans="1:8" ht="21.75" customHeight="1" thickBot="1">
      <c r="A7" s="410" t="s">
        <v>307</v>
      </c>
      <c r="B7" s="411"/>
      <c r="C7" s="411"/>
      <c r="D7" s="411"/>
      <c r="E7" s="411"/>
      <c r="F7" s="411"/>
      <c r="G7" s="412" t="str">
        <f>'ปร.4(งานทาง)'!J7</f>
        <v>จำนวน   4    แผ่น</v>
      </c>
      <c r="H7" s="412"/>
    </row>
    <row r="8" spans="1:8" ht="19.5">
      <c r="A8" s="397" t="s">
        <v>5</v>
      </c>
      <c r="B8" s="397" t="s">
        <v>0</v>
      </c>
      <c r="C8" s="397"/>
      <c r="D8" s="70" t="s">
        <v>63</v>
      </c>
      <c r="E8" s="46" t="s">
        <v>64</v>
      </c>
      <c r="F8" s="47" t="s">
        <v>34</v>
      </c>
      <c r="G8" s="413" t="s">
        <v>4</v>
      </c>
      <c r="H8" s="413"/>
    </row>
    <row r="9" spans="1:8" ht="20.25" thickBot="1">
      <c r="A9" s="398"/>
      <c r="B9" s="398"/>
      <c r="C9" s="398"/>
      <c r="D9" s="71" t="s">
        <v>65</v>
      </c>
      <c r="E9" s="37" t="s">
        <v>21</v>
      </c>
      <c r="F9" s="37" t="s">
        <v>21</v>
      </c>
      <c r="G9" s="398"/>
      <c r="H9" s="398"/>
    </row>
    <row r="10" spans="1:8" ht="20.25" thickTop="1">
      <c r="A10" s="15">
        <v>1</v>
      </c>
      <c r="B10" s="399" t="s">
        <v>309</v>
      </c>
      <c r="C10" s="400"/>
      <c r="D10" s="72">
        <f>'ปร.4(งานทาง)'!G45</f>
        <v>272645.47000000003</v>
      </c>
      <c r="E10" s="73">
        <v>2222</v>
      </c>
      <c r="F10" s="48">
        <f>ROUND((D10*E10),2)</f>
        <v>605818234.34</v>
      </c>
      <c r="G10" s="399" t="s">
        <v>66</v>
      </c>
      <c r="H10" s="400"/>
    </row>
    <row r="11" spans="1:8" ht="19.5">
      <c r="A11" s="17"/>
      <c r="B11" s="389"/>
      <c r="C11" s="390"/>
      <c r="D11" s="75"/>
      <c r="E11" s="74"/>
      <c r="F11" s="52"/>
      <c r="G11" s="389" t="s">
        <v>155</v>
      </c>
      <c r="H11" s="390"/>
    </row>
    <row r="12" spans="1:8" ht="19.5">
      <c r="A12" s="17"/>
      <c r="B12" s="389"/>
      <c r="C12" s="390"/>
      <c r="D12" s="75"/>
      <c r="E12" s="51"/>
      <c r="F12" s="75"/>
      <c r="G12" s="389" t="s">
        <v>71</v>
      </c>
      <c r="H12" s="390"/>
    </row>
    <row r="13" spans="1:8" ht="19.5">
      <c r="A13" s="17"/>
      <c r="B13" s="366"/>
      <c r="C13" s="368"/>
      <c r="D13" s="75"/>
      <c r="E13" s="51"/>
      <c r="F13" s="50"/>
      <c r="G13" s="389" t="s">
        <v>154</v>
      </c>
      <c r="H13" s="390"/>
    </row>
    <row r="14" spans="1:8" ht="19.5">
      <c r="A14" s="50"/>
      <c r="B14" s="366"/>
      <c r="C14" s="368"/>
      <c r="D14" s="75"/>
      <c r="E14" s="51"/>
      <c r="F14" s="50"/>
      <c r="G14" s="389" t="s">
        <v>67</v>
      </c>
      <c r="H14" s="390"/>
    </row>
    <row r="15" spans="1:8" ht="19.5">
      <c r="A15" s="50"/>
      <c r="B15" s="366"/>
      <c r="C15" s="368"/>
      <c r="D15" s="75"/>
      <c r="E15" s="51"/>
      <c r="F15" s="50"/>
      <c r="G15" s="44" t="s">
        <v>309</v>
      </c>
      <c r="H15" s="45"/>
    </row>
    <row r="16" spans="1:8" ht="20.25" thickBot="1">
      <c r="A16" s="50"/>
      <c r="B16" s="366"/>
      <c r="C16" s="368"/>
      <c r="D16" s="75"/>
      <c r="E16" s="51"/>
      <c r="F16" s="50"/>
      <c r="G16" s="389" t="s">
        <v>311</v>
      </c>
      <c r="H16" s="390"/>
    </row>
    <row r="17" spans="1:8" ht="21" thickBot="1" thickTop="1">
      <c r="A17" s="405" t="s">
        <v>264</v>
      </c>
      <c r="B17" s="406"/>
      <c r="C17" s="406"/>
      <c r="D17" s="406"/>
      <c r="E17" s="407"/>
      <c r="F17" s="201">
        <f>SUM(F10:F16)</f>
        <v>605818234.34</v>
      </c>
      <c r="G17" s="378" t="s">
        <v>101</v>
      </c>
      <c r="H17" s="379"/>
    </row>
    <row r="18" spans="1:8" ht="21" thickBot="1" thickTop="1">
      <c r="A18" s="405" t="s">
        <v>94</v>
      </c>
      <c r="B18" s="406"/>
      <c r="C18" s="406"/>
      <c r="D18" s="406"/>
      <c r="E18" s="407"/>
      <c r="F18" s="200">
        <v>370000</v>
      </c>
      <c r="G18" s="383" t="s">
        <v>260</v>
      </c>
      <c r="H18" s="384"/>
    </row>
    <row r="19" spans="1:8" ht="24" customHeight="1" thickBot="1" thickTop="1">
      <c r="A19" s="56" t="s">
        <v>68</v>
      </c>
      <c r="B19" s="385" t="str">
        <f>CONCATENATE("(",_xlfn.BAHTTEXT(F18),")")</f>
        <v>(สามแสนเจ็ดหมื่นบาทถ้วน)</v>
      </c>
      <c r="C19" s="385"/>
      <c r="D19" s="385"/>
      <c r="E19" s="385"/>
      <c r="F19" s="386"/>
      <c r="G19" s="127"/>
      <c r="H19" s="128"/>
    </row>
    <row r="20" spans="1:8" ht="24" customHeight="1" thickBot="1" thickTop="1">
      <c r="A20" s="56" t="s">
        <v>156</v>
      </c>
      <c r="B20" s="127"/>
      <c r="C20" s="408" t="s">
        <v>293</v>
      </c>
      <c r="D20" s="408"/>
      <c r="E20" s="408"/>
      <c r="F20" s="408"/>
      <c r="G20" s="408"/>
      <c r="H20" s="409"/>
    </row>
    <row r="21" spans="1:8" ht="23.25" customHeight="1" thickTop="1">
      <c r="A21" s="372"/>
      <c r="B21" s="373"/>
      <c r="C21" s="373"/>
      <c r="D21" s="373"/>
      <c r="E21" s="373"/>
      <c r="F21" s="373"/>
      <c r="G21" s="373"/>
      <c r="H21" s="374"/>
    </row>
    <row r="22" spans="1:8" ht="19.5">
      <c r="A22" s="366" t="s">
        <v>247</v>
      </c>
      <c r="B22" s="367"/>
      <c r="C22" s="367"/>
      <c r="D22" s="367"/>
      <c r="E22" s="367"/>
      <c r="F22" s="367"/>
      <c r="G22" s="367"/>
      <c r="H22" s="368"/>
    </row>
    <row r="23" spans="1:8" ht="19.5">
      <c r="A23" s="366" t="s">
        <v>294</v>
      </c>
      <c r="B23" s="367"/>
      <c r="C23" s="367"/>
      <c r="D23" s="367"/>
      <c r="E23" s="367"/>
      <c r="F23" s="367"/>
      <c r="G23" s="367"/>
      <c r="H23" s="368"/>
    </row>
    <row r="24" spans="1:8" ht="19.5">
      <c r="A24" s="366" t="s">
        <v>295</v>
      </c>
      <c r="B24" s="367"/>
      <c r="C24" s="367"/>
      <c r="D24" s="367"/>
      <c r="E24" s="367"/>
      <c r="F24" s="367"/>
      <c r="G24" s="367"/>
      <c r="H24" s="368"/>
    </row>
    <row r="25" spans="1:8" ht="19.5">
      <c r="A25" s="366"/>
      <c r="B25" s="367"/>
      <c r="C25" s="367"/>
      <c r="D25" s="367"/>
      <c r="E25" s="367"/>
      <c r="F25" s="367"/>
      <c r="G25" s="367"/>
      <c r="H25" s="368"/>
    </row>
    <row r="26" spans="1:8" ht="19.5">
      <c r="A26" s="366" t="s">
        <v>306</v>
      </c>
      <c r="B26" s="367"/>
      <c r="C26" s="367"/>
      <c r="D26" s="367"/>
      <c r="E26" s="367"/>
      <c r="F26" s="367"/>
      <c r="G26" s="367"/>
      <c r="H26" s="368"/>
    </row>
    <row r="27" spans="1:8" ht="19.5">
      <c r="A27" s="366" t="s">
        <v>103</v>
      </c>
      <c r="B27" s="367"/>
      <c r="C27" s="367"/>
      <c r="D27" s="367"/>
      <c r="E27" s="367"/>
      <c r="F27" s="367"/>
      <c r="G27" s="367"/>
      <c r="H27" s="368"/>
    </row>
    <row r="28" spans="1:8" ht="19.5">
      <c r="A28" s="366" t="s">
        <v>111</v>
      </c>
      <c r="B28" s="367"/>
      <c r="C28" s="367"/>
      <c r="D28" s="367"/>
      <c r="E28" s="367"/>
      <c r="F28" s="367"/>
      <c r="G28" s="367"/>
      <c r="H28" s="368"/>
    </row>
    <row r="29" spans="1:8" ht="19.5">
      <c r="A29" s="366"/>
      <c r="B29" s="367"/>
      <c r="C29" s="367"/>
      <c r="D29" s="367"/>
      <c r="E29" s="367"/>
      <c r="F29" s="367"/>
      <c r="G29" s="367"/>
      <c r="H29" s="368"/>
    </row>
    <row r="30" spans="1:8" ht="19.5">
      <c r="A30" s="366" t="s">
        <v>298</v>
      </c>
      <c r="B30" s="367"/>
      <c r="C30" s="367"/>
      <c r="D30" s="367"/>
      <c r="E30" s="367"/>
      <c r="F30" s="367"/>
      <c r="G30" s="367"/>
      <c r="H30" s="368"/>
    </row>
    <row r="31" spans="1:8" ht="19.5">
      <c r="A31" s="366" t="s">
        <v>296</v>
      </c>
      <c r="B31" s="367"/>
      <c r="C31" s="367"/>
      <c r="D31" s="367"/>
      <c r="E31" s="367"/>
      <c r="F31" s="367"/>
      <c r="G31" s="367"/>
      <c r="H31" s="368"/>
    </row>
    <row r="32" spans="1:8" ht="19.5">
      <c r="A32" s="366" t="s">
        <v>158</v>
      </c>
      <c r="B32" s="367"/>
      <c r="C32" s="367"/>
      <c r="D32" s="367"/>
      <c r="E32" s="367"/>
      <c r="F32" s="367"/>
      <c r="G32" s="367"/>
      <c r="H32" s="368"/>
    </row>
    <row r="33" spans="1:8" ht="19.5">
      <c r="A33" s="366" t="s">
        <v>299</v>
      </c>
      <c r="B33" s="367"/>
      <c r="C33" s="367"/>
      <c r="D33" s="367"/>
      <c r="E33" s="367"/>
      <c r="F33" s="367"/>
      <c r="G33" s="367"/>
      <c r="H33" s="368"/>
    </row>
    <row r="34" spans="1:8" ht="19.5">
      <c r="A34" s="366" t="s">
        <v>297</v>
      </c>
      <c r="B34" s="367"/>
      <c r="C34" s="367"/>
      <c r="D34" s="367"/>
      <c r="E34" s="367"/>
      <c r="F34" s="367"/>
      <c r="G34" s="367"/>
      <c r="H34" s="368"/>
    </row>
    <row r="35" spans="1:8" ht="19.5">
      <c r="A35" s="366" t="s">
        <v>160</v>
      </c>
      <c r="B35" s="367"/>
      <c r="C35" s="367"/>
      <c r="D35" s="367"/>
      <c r="E35" s="367"/>
      <c r="F35" s="367"/>
      <c r="G35" s="367"/>
      <c r="H35" s="368"/>
    </row>
    <row r="36" spans="1:8" ht="19.5">
      <c r="A36" s="18"/>
      <c r="B36" s="13"/>
      <c r="C36" s="13"/>
      <c r="D36" s="13"/>
      <c r="E36" s="13"/>
      <c r="F36" s="13"/>
      <c r="G36" s="13"/>
      <c r="H36" s="49"/>
    </row>
    <row r="37" spans="1:8" ht="19.5">
      <c r="A37" s="18"/>
      <c r="B37" s="13"/>
      <c r="C37" s="13"/>
      <c r="D37" s="13"/>
      <c r="E37" s="13"/>
      <c r="F37" s="13"/>
      <c r="G37" s="13"/>
      <c r="H37" s="49"/>
    </row>
    <row r="38" spans="1:8" ht="19.5">
      <c r="A38" s="202"/>
      <c r="B38" s="203"/>
      <c r="C38" s="203"/>
      <c r="D38" s="203"/>
      <c r="E38" s="203"/>
      <c r="F38" s="203"/>
      <c r="G38" s="203"/>
      <c r="H38" s="204"/>
    </row>
    <row r="39" spans="1:8" ht="19.5">
      <c r="A39" s="18"/>
      <c r="B39" s="13"/>
      <c r="C39" s="13"/>
      <c r="D39" s="13"/>
      <c r="E39" s="13"/>
      <c r="F39" s="13"/>
      <c r="G39" s="13"/>
      <c r="H39" s="49"/>
    </row>
    <row r="40" spans="1:6" ht="19.5">
      <c r="A40" s="18"/>
      <c r="B40" s="13"/>
      <c r="C40" s="13"/>
      <c r="D40" s="13"/>
      <c r="E40" s="13"/>
      <c r="F40" s="13"/>
    </row>
  </sheetData>
  <sheetProtection/>
  <mergeCells count="45">
    <mergeCell ref="A1:G1"/>
    <mergeCell ref="A2:H2"/>
    <mergeCell ref="A3:H3"/>
    <mergeCell ref="A4:H4"/>
    <mergeCell ref="A5:H5"/>
    <mergeCell ref="A6:H6"/>
    <mergeCell ref="A7:F7"/>
    <mergeCell ref="G7:H7"/>
    <mergeCell ref="A8:A9"/>
    <mergeCell ref="B8:C9"/>
    <mergeCell ref="G8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16:C16"/>
    <mergeCell ref="G16:H16"/>
    <mergeCell ref="A17:E17"/>
    <mergeCell ref="G17:H17"/>
    <mergeCell ref="A18:E18"/>
    <mergeCell ref="G18:H18"/>
    <mergeCell ref="B19:F19"/>
    <mergeCell ref="C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5:H35"/>
    <mergeCell ref="A29:H29"/>
    <mergeCell ref="A30:H30"/>
    <mergeCell ref="A31:H31"/>
    <mergeCell ref="A32:H32"/>
    <mergeCell ref="A33:H33"/>
    <mergeCell ref="A34:H34"/>
  </mergeCells>
  <printOptions/>
  <pageMargins left="0.5905511811023623" right="0" top="0.7874015748031497" bottom="0.3937007874015748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0"/>
  <sheetViews>
    <sheetView view="pageBreakPreview" zoomScaleSheetLayoutView="100" zoomScalePageLayoutView="0" workbookViewId="0" topLeftCell="A5">
      <selection activeCell="K16" sqref="K16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8.28125" style="14" customWidth="1"/>
    <col min="4" max="4" width="13.8515625" style="78" customWidth="1"/>
    <col min="5" max="5" width="11.28125" style="14" customWidth="1"/>
    <col min="6" max="6" width="13.28125" style="14" customWidth="1"/>
    <col min="7" max="7" width="9.421875" style="14" customWidth="1"/>
    <col min="8" max="8" width="11.42187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352" t="str">
        <f>'ปร.4(งานทาง)'!A1:J1</f>
        <v>บัญชีสรุปราคางานก่อสร้าง</v>
      </c>
      <c r="B1" s="353"/>
      <c r="C1" s="353"/>
      <c r="D1" s="353"/>
      <c r="E1" s="353"/>
      <c r="F1" s="353"/>
      <c r="G1" s="353"/>
      <c r="H1" s="69" t="s">
        <v>100</v>
      </c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352" t="str">
        <f>'ปร.4(งานทาง)'!A2:I2</f>
        <v>หน่วยงานเจ้าของโครงการ  :  กองช่าง องค์การบริการส่วนตำบลป่ากลางอำเภอปัว  จังหวัดน่าน</v>
      </c>
      <c r="B2" s="353"/>
      <c r="C2" s="353"/>
      <c r="D2" s="353"/>
      <c r="E2" s="353"/>
      <c r="F2" s="353"/>
      <c r="G2" s="353"/>
      <c r="H2" s="401"/>
    </row>
    <row r="3" spans="1:8" ht="19.5">
      <c r="A3" s="352" t="str">
        <f>'ปร.4(งานทาง)'!A3:I3</f>
        <v>ชื่อโครงการ     : ก่อสร้างราวกันตกถนน บ้านจูน หมู่ที่ 4 </v>
      </c>
      <c r="B3" s="353"/>
      <c r="C3" s="353"/>
      <c r="D3" s="353"/>
      <c r="E3" s="353"/>
      <c r="F3" s="353"/>
      <c r="G3" s="353"/>
      <c r="H3" s="401"/>
    </row>
    <row r="4" spans="1:8" ht="19.5">
      <c r="A4" s="352" t="str">
        <f>'ปร.4(งานทาง)'!A4:I4</f>
        <v>สถานที่ก่อสร้าง : บ้านจูน  หมู่ที่ 4 ตำบลป่ากลาง  อำเภอปัว จังหวัดน่าน</v>
      </c>
      <c r="B4" s="353"/>
      <c r="C4" s="353"/>
      <c r="D4" s="353"/>
      <c r="E4" s="353"/>
      <c r="F4" s="353"/>
      <c r="G4" s="353"/>
      <c r="H4" s="401"/>
    </row>
    <row r="5" spans="1:8" ht="19.5">
      <c r="A5" s="352" t="str">
        <f>'ปร.4(งานทาง)'!A5:I5</f>
        <v>ประมาณราคา   : วันที่ 10  เดือน กรกฎาคม  พ.ศ.2561</v>
      </c>
      <c r="B5" s="353"/>
      <c r="C5" s="353"/>
      <c r="D5" s="353"/>
      <c r="E5" s="353"/>
      <c r="F5" s="353"/>
      <c r="G5" s="353"/>
      <c r="H5" s="401"/>
    </row>
    <row r="6" spans="1:8" ht="19.5">
      <c r="A6" s="352" t="str">
        <f>'ปร.4(งานทาง)'!A6:I6</f>
        <v>ปริมาณงาน : ก่อสร้างราวกันตก จำนวน 2 จุด ความยาวรวม 248 เมตร </v>
      </c>
      <c r="B6" s="353"/>
      <c r="C6" s="353"/>
      <c r="D6" s="353"/>
      <c r="E6" s="353"/>
      <c r="F6" s="353"/>
      <c r="G6" s="353"/>
      <c r="H6" s="401"/>
    </row>
    <row r="7" spans="1:8" ht="21.75" customHeight="1" thickBot="1">
      <c r="A7" s="410" t="s">
        <v>307</v>
      </c>
      <c r="B7" s="411"/>
      <c r="C7" s="411"/>
      <c r="D7" s="411"/>
      <c r="E7" s="411"/>
      <c r="F7" s="411"/>
      <c r="G7" s="412" t="str">
        <f>'ปร.4(งานทาง)'!J7</f>
        <v>จำนวน   4    แผ่น</v>
      </c>
      <c r="H7" s="412"/>
    </row>
    <row r="8" spans="1:8" ht="19.5">
      <c r="A8" s="397" t="s">
        <v>5</v>
      </c>
      <c r="B8" s="397" t="s">
        <v>0</v>
      </c>
      <c r="C8" s="397"/>
      <c r="D8" s="70" t="s">
        <v>63</v>
      </c>
      <c r="E8" s="46" t="s">
        <v>64</v>
      </c>
      <c r="F8" s="47" t="s">
        <v>34</v>
      </c>
      <c r="G8" s="413" t="s">
        <v>4</v>
      </c>
      <c r="H8" s="413"/>
    </row>
    <row r="9" spans="1:8" ht="20.25" thickBot="1">
      <c r="A9" s="398"/>
      <c r="B9" s="398"/>
      <c r="C9" s="398"/>
      <c r="D9" s="71" t="s">
        <v>65</v>
      </c>
      <c r="E9" s="37" t="s">
        <v>21</v>
      </c>
      <c r="F9" s="37" t="s">
        <v>21</v>
      </c>
      <c r="G9" s="398"/>
      <c r="H9" s="398"/>
    </row>
    <row r="10" spans="1:8" ht="20.25" thickTop="1">
      <c r="A10" s="15">
        <v>1</v>
      </c>
      <c r="B10" s="399" t="s">
        <v>283</v>
      </c>
      <c r="C10" s="400"/>
      <c r="D10" s="72">
        <f>'ปร.4(งานทาง)'!G45</f>
        <v>272645.47000000003</v>
      </c>
      <c r="E10" s="73">
        <v>2222</v>
      </c>
      <c r="F10" s="48">
        <f>ROUND((D10*E10),2)</f>
        <v>605818234.34</v>
      </c>
      <c r="G10" s="399" t="s">
        <v>66</v>
      </c>
      <c r="H10" s="400"/>
    </row>
    <row r="11" spans="1:8" ht="19.5">
      <c r="A11" s="17"/>
      <c r="B11" s="389"/>
      <c r="C11" s="390"/>
      <c r="D11" s="75"/>
      <c r="E11" s="74"/>
      <c r="F11" s="52"/>
      <c r="G11" s="389" t="s">
        <v>155</v>
      </c>
      <c r="H11" s="390"/>
    </row>
    <row r="12" spans="1:8" ht="19.5">
      <c r="A12" s="17"/>
      <c r="B12" s="389"/>
      <c r="C12" s="390"/>
      <c r="D12" s="75"/>
      <c r="E12" s="51"/>
      <c r="F12" s="75"/>
      <c r="G12" s="389" t="s">
        <v>71</v>
      </c>
      <c r="H12" s="390"/>
    </row>
    <row r="13" spans="1:8" ht="19.5">
      <c r="A13" s="17"/>
      <c r="B13" s="366"/>
      <c r="C13" s="368"/>
      <c r="D13" s="75"/>
      <c r="E13" s="51"/>
      <c r="F13" s="50"/>
      <c r="G13" s="389" t="s">
        <v>154</v>
      </c>
      <c r="H13" s="390"/>
    </row>
    <row r="14" spans="1:8" ht="19.5">
      <c r="A14" s="50"/>
      <c r="B14" s="366"/>
      <c r="C14" s="368"/>
      <c r="D14" s="75"/>
      <c r="E14" s="51"/>
      <c r="F14" s="50"/>
      <c r="G14" s="389" t="s">
        <v>67</v>
      </c>
      <c r="H14" s="390"/>
    </row>
    <row r="15" spans="1:8" ht="19.5">
      <c r="A15" s="50"/>
      <c r="B15" s="366"/>
      <c r="C15" s="368"/>
      <c r="D15" s="75"/>
      <c r="E15" s="51"/>
      <c r="F15" s="50"/>
      <c r="G15" s="44" t="s">
        <v>283</v>
      </c>
      <c r="H15" s="45"/>
    </row>
    <row r="16" spans="1:8" ht="20.25" thickBot="1">
      <c r="A16" s="50"/>
      <c r="B16" s="366"/>
      <c r="C16" s="368"/>
      <c r="D16" s="75"/>
      <c r="E16" s="51"/>
      <c r="F16" s="50"/>
      <c r="G16" s="389" t="s">
        <v>292</v>
      </c>
      <c r="H16" s="390"/>
    </row>
    <row r="17" spans="1:8" ht="21" thickBot="1" thickTop="1">
      <c r="A17" s="405" t="s">
        <v>264</v>
      </c>
      <c r="B17" s="406"/>
      <c r="C17" s="406"/>
      <c r="D17" s="406"/>
      <c r="E17" s="407"/>
      <c r="F17" s="201">
        <f>SUM(F10:F16)</f>
        <v>605818234.34</v>
      </c>
      <c r="G17" s="378" t="s">
        <v>101</v>
      </c>
      <c r="H17" s="379"/>
    </row>
    <row r="18" spans="1:8" ht="21" thickBot="1" thickTop="1">
      <c r="A18" s="405" t="s">
        <v>94</v>
      </c>
      <c r="B18" s="406"/>
      <c r="C18" s="406"/>
      <c r="D18" s="406"/>
      <c r="E18" s="407"/>
      <c r="F18" s="200">
        <v>370000</v>
      </c>
      <c r="G18" s="383" t="s">
        <v>260</v>
      </c>
      <c r="H18" s="384"/>
    </row>
    <row r="19" spans="1:8" ht="24" customHeight="1" thickBot="1" thickTop="1">
      <c r="A19" s="56" t="s">
        <v>68</v>
      </c>
      <c r="B19" s="385" t="str">
        <f>CONCATENATE("(",_xlfn.BAHTTEXT(F18),")")</f>
        <v>(สามแสนเจ็ดหมื่นบาทถ้วน)</v>
      </c>
      <c r="C19" s="385"/>
      <c r="D19" s="385"/>
      <c r="E19" s="385"/>
      <c r="F19" s="386"/>
      <c r="G19" s="127"/>
      <c r="H19" s="128"/>
    </row>
    <row r="20" spans="1:8" ht="24" customHeight="1" thickBot="1" thickTop="1">
      <c r="A20" s="56" t="s">
        <v>156</v>
      </c>
      <c r="B20" s="127"/>
      <c r="C20" s="408" t="s">
        <v>293</v>
      </c>
      <c r="D20" s="408"/>
      <c r="E20" s="408"/>
      <c r="F20" s="408"/>
      <c r="G20" s="408"/>
      <c r="H20" s="409"/>
    </row>
    <row r="21" spans="1:8" ht="23.25" customHeight="1" thickTop="1">
      <c r="A21" s="372"/>
      <c r="B21" s="373"/>
      <c r="C21" s="373"/>
      <c r="D21" s="373"/>
      <c r="E21" s="373"/>
      <c r="F21" s="373"/>
      <c r="G21" s="373"/>
      <c r="H21" s="374"/>
    </row>
    <row r="22" spans="1:8" ht="19.5">
      <c r="A22" s="366" t="s">
        <v>247</v>
      </c>
      <c r="B22" s="367"/>
      <c r="C22" s="367"/>
      <c r="D22" s="367"/>
      <c r="E22" s="367"/>
      <c r="F22" s="367"/>
      <c r="G22" s="367"/>
      <c r="H22" s="368"/>
    </row>
    <row r="23" spans="1:8" ht="19.5">
      <c r="A23" s="366" t="s">
        <v>294</v>
      </c>
      <c r="B23" s="367"/>
      <c r="C23" s="367"/>
      <c r="D23" s="367"/>
      <c r="E23" s="367"/>
      <c r="F23" s="367"/>
      <c r="G23" s="367"/>
      <c r="H23" s="368"/>
    </row>
    <row r="24" spans="1:8" ht="19.5">
      <c r="A24" s="366" t="s">
        <v>295</v>
      </c>
      <c r="B24" s="367"/>
      <c r="C24" s="367"/>
      <c r="D24" s="367"/>
      <c r="E24" s="367"/>
      <c r="F24" s="367"/>
      <c r="G24" s="367"/>
      <c r="H24" s="368"/>
    </row>
    <row r="25" spans="1:8" ht="19.5">
      <c r="A25" s="366"/>
      <c r="B25" s="367"/>
      <c r="C25" s="367"/>
      <c r="D25" s="367"/>
      <c r="E25" s="367"/>
      <c r="F25" s="367"/>
      <c r="G25" s="367"/>
      <c r="H25" s="368"/>
    </row>
    <row r="26" spans="1:8" ht="19.5">
      <c r="A26" s="366" t="s">
        <v>306</v>
      </c>
      <c r="B26" s="367"/>
      <c r="C26" s="367"/>
      <c r="D26" s="367"/>
      <c r="E26" s="367"/>
      <c r="F26" s="367"/>
      <c r="G26" s="367"/>
      <c r="H26" s="368"/>
    </row>
    <row r="27" spans="1:8" ht="19.5">
      <c r="A27" s="366" t="s">
        <v>103</v>
      </c>
      <c r="B27" s="367"/>
      <c r="C27" s="367"/>
      <c r="D27" s="367"/>
      <c r="E27" s="367"/>
      <c r="F27" s="367"/>
      <c r="G27" s="367"/>
      <c r="H27" s="368"/>
    </row>
    <row r="28" spans="1:8" ht="19.5">
      <c r="A28" s="366" t="s">
        <v>111</v>
      </c>
      <c r="B28" s="367"/>
      <c r="C28" s="367"/>
      <c r="D28" s="367"/>
      <c r="E28" s="367"/>
      <c r="F28" s="367"/>
      <c r="G28" s="367"/>
      <c r="H28" s="368"/>
    </row>
    <row r="29" spans="1:8" ht="19.5">
      <c r="A29" s="366"/>
      <c r="B29" s="367"/>
      <c r="C29" s="367"/>
      <c r="D29" s="367"/>
      <c r="E29" s="367"/>
      <c r="F29" s="367"/>
      <c r="G29" s="367"/>
      <c r="H29" s="368"/>
    </row>
    <row r="30" spans="1:8" ht="19.5">
      <c r="A30" s="366" t="s">
        <v>298</v>
      </c>
      <c r="B30" s="367"/>
      <c r="C30" s="367"/>
      <c r="D30" s="367"/>
      <c r="E30" s="367"/>
      <c r="F30" s="367"/>
      <c r="G30" s="367"/>
      <c r="H30" s="368"/>
    </row>
    <row r="31" spans="1:8" ht="19.5">
      <c r="A31" s="366" t="s">
        <v>296</v>
      </c>
      <c r="B31" s="367"/>
      <c r="C31" s="367"/>
      <c r="D31" s="367"/>
      <c r="E31" s="367"/>
      <c r="F31" s="367"/>
      <c r="G31" s="367"/>
      <c r="H31" s="368"/>
    </row>
    <row r="32" spans="1:8" ht="19.5">
      <c r="A32" s="366" t="s">
        <v>158</v>
      </c>
      <c r="B32" s="367"/>
      <c r="C32" s="367"/>
      <c r="D32" s="367"/>
      <c r="E32" s="367"/>
      <c r="F32" s="367"/>
      <c r="G32" s="367"/>
      <c r="H32" s="368"/>
    </row>
    <row r="33" spans="1:8" ht="19.5">
      <c r="A33" s="366" t="s">
        <v>299</v>
      </c>
      <c r="B33" s="367"/>
      <c r="C33" s="367"/>
      <c r="D33" s="367"/>
      <c r="E33" s="367"/>
      <c r="F33" s="367"/>
      <c r="G33" s="367"/>
      <c r="H33" s="368"/>
    </row>
    <row r="34" spans="1:8" ht="19.5">
      <c r="A34" s="366" t="s">
        <v>297</v>
      </c>
      <c r="B34" s="367"/>
      <c r="C34" s="367"/>
      <c r="D34" s="367"/>
      <c r="E34" s="367"/>
      <c r="F34" s="367"/>
      <c r="G34" s="367"/>
      <c r="H34" s="368"/>
    </row>
    <row r="35" spans="1:8" ht="19.5">
      <c r="A35" s="366" t="s">
        <v>160</v>
      </c>
      <c r="B35" s="367"/>
      <c r="C35" s="367"/>
      <c r="D35" s="367"/>
      <c r="E35" s="367"/>
      <c r="F35" s="367"/>
      <c r="G35" s="367"/>
      <c r="H35" s="368"/>
    </row>
    <row r="36" spans="1:8" ht="19.5">
      <c r="A36" s="18"/>
      <c r="B36" s="13"/>
      <c r="C36" s="13"/>
      <c r="D36" s="13"/>
      <c r="E36" s="13"/>
      <c r="F36" s="13"/>
      <c r="G36" s="13"/>
      <c r="H36" s="49"/>
    </row>
    <row r="37" spans="1:8" ht="19.5">
      <c r="A37" s="18"/>
      <c r="B37" s="13"/>
      <c r="C37" s="13"/>
      <c r="D37" s="13"/>
      <c r="E37" s="13"/>
      <c r="F37" s="13"/>
      <c r="G37" s="13"/>
      <c r="H37" s="49"/>
    </row>
    <row r="38" spans="1:8" ht="19.5">
      <c r="A38" s="202"/>
      <c r="B38" s="203"/>
      <c r="C38" s="203"/>
      <c r="D38" s="203"/>
      <c r="E38" s="203"/>
      <c r="F38" s="203"/>
      <c r="G38" s="203"/>
      <c r="H38" s="204"/>
    </row>
    <row r="39" spans="1:8" ht="19.5">
      <c r="A39" s="18"/>
      <c r="B39" s="13"/>
      <c r="C39" s="13"/>
      <c r="D39" s="13"/>
      <c r="E39" s="13"/>
      <c r="F39" s="13"/>
      <c r="G39" s="13"/>
      <c r="H39" s="49"/>
    </row>
    <row r="40" spans="1:6" ht="19.5">
      <c r="A40" s="18"/>
      <c r="B40" s="13"/>
      <c r="C40" s="13"/>
      <c r="D40" s="13"/>
      <c r="E40" s="13"/>
      <c r="F40" s="13"/>
    </row>
  </sheetData>
  <sheetProtection/>
  <mergeCells count="45">
    <mergeCell ref="A30:H30"/>
    <mergeCell ref="G12:H12"/>
    <mergeCell ref="C20:H20"/>
    <mergeCell ref="A17:E17"/>
    <mergeCell ref="A26:H26"/>
    <mergeCell ref="A27:H27"/>
    <mergeCell ref="A29:H29"/>
    <mergeCell ref="A18:E18"/>
    <mergeCell ref="A21:H21"/>
    <mergeCell ref="B14:C14"/>
    <mergeCell ref="A32:H32"/>
    <mergeCell ref="A33:H33"/>
    <mergeCell ref="A34:H34"/>
    <mergeCell ref="A35:H35"/>
    <mergeCell ref="A22:H22"/>
    <mergeCell ref="A23:H23"/>
    <mergeCell ref="A24:H24"/>
    <mergeCell ref="A25:H25"/>
    <mergeCell ref="A31:H31"/>
    <mergeCell ref="A28:H28"/>
    <mergeCell ref="G14:H14"/>
    <mergeCell ref="B15:C15"/>
    <mergeCell ref="B16:C16"/>
    <mergeCell ref="G18:H18"/>
    <mergeCell ref="B19:F19"/>
    <mergeCell ref="G16:H16"/>
    <mergeCell ref="G17:H17"/>
    <mergeCell ref="B11:C11"/>
    <mergeCell ref="G11:H11"/>
    <mergeCell ref="A6:H6"/>
    <mergeCell ref="A8:A9"/>
    <mergeCell ref="B8:C9"/>
    <mergeCell ref="B13:C13"/>
    <mergeCell ref="G13:H13"/>
    <mergeCell ref="A7:F7"/>
    <mergeCell ref="G7:H7"/>
    <mergeCell ref="B12:C12"/>
    <mergeCell ref="G8:H9"/>
    <mergeCell ref="B10:C10"/>
    <mergeCell ref="G10:H10"/>
    <mergeCell ref="A1:G1"/>
    <mergeCell ref="A2:H2"/>
    <mergeCell ref="A3:H3"/>
    <mergeCell ref="A4:H4"/>
    <mergeCell ref="A5:H5"/>
  </mergeCells>
  <printOptions/>
  <pageMargins left="0.5905511811023623" right="0" top="0.7874015748031497" bottom="0.3937007874015748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98" zoomScaleNormal="75" zoomScaleSheetLayoutView="98" zoomScalePageLayoutView="0" workbookViewId="0" topLeftCell="A35">
      <selection activeCell="J43" sqref="J43"/>
    </sheetView>
  </sheetViews>
  <sheetFormatPr defaultColWidth="9.140625" defaultRowHeight="21.75"/>
  <cols>
    <col min="1" max="1" width="7.8515625" style="100" customWidth="1"/>
    <col min="2" max="2" width="43.421875" style="100" customWidth="1"/>
    <col min="3" max="3" width="9.28125" style="121" customWidth="1"/>
    <col min="4" max="4" width="8.28125" style="100" customWidth="1"/>
    <col min="5" max="6" width="13.421875" style="122" customWidth="1"/>
    <col min="7" max="7" width="13.00390625" style="121" customWidth="1"/>
    <col min="8" max="8" width="12.421875" style="122" customWidth="1"/>
    <col min="9" max="9" width="15.28125" style="122" customWidth="1"/>
    <col min="10" max="10" width="21.140625" style="100" customWidth="1"/>
    <col min="11" max="11" width="4.421875" style="100" customWidth="1"/>
    <col min="12" max="12" width="8.7109375" style="100" customWidth="1"/>
    <col min="13" max="16384" width="9.140625" style="100" customWidth="1"/>
  </cols>
  <sheetData>
    <row r="1" spans="1:10" ht="19.5">
      <c r="A1" s="350" t="s">
        <v>266</v>
      </c>
      <c r="B1" s="351"/>
      <c r="C1" s="351"/>
      <c r="D1" s="351"/>
      <c r="E1" s="351"/>
      <c r="F1" s="351"/>
      <c r="G1" s="351"/>
      <c r="H1" s="351"/>
      <c r="I1" s="351"/>
      <c r="J1" s="418"/>
    </row>
    <row r="2" spans="1:10" ht="19.5">
      <c r="A2" s="348" t="s">
        <v>269</v>
      </c>
      <c r="B2" s="349"/>
      <c r="C2" s="349"/>
      <c r="D2" s="349"/>
      <c r="E2" s="349"/>
      <c r="F2" s="349"/>
      <c r="G2" s="349"/>
      <c r="H2" s="349"/>
      <c r="I2" s="349"/>
      <c r="J2" s="101" t="s">
        <v>55</v>
      </c>
    </row>
    <row r="3" spans="1:10" ht="19.5">
      <c r="A3" s="350" t="s">
        <v>303</v>
      </c>
      <c r="B3" s="351"/>
      <c r="C3" s="351"/>
      <c r="D3" s="351"/>
      <c r="E3" s="351"/>
      <c r="F3" s="351"/>
      <c r="G3" s="351"/>
      <c r="H3" s="351"/>
      <c r="I3" s="351"/>
      <c r="J3" s="199" t="s">
        <v>301</v>
      </c>
    </row>
    <row r="4" spans="1:10" ht="19.5">
      <c r="A4" s="350" t="s">
        <v>268</v>
      </c>
      <c r="B4" s="351"/>
      <c r="C4" s="351"/>
      <c r="D4" s="351"/>
      <c r="E4" s="351"/>
      <c r="F4" s="351"/>
      <c r="G4" s="351"/>
      <c r="H4" s="351"/>
      <c r="I4" s="351"/>
      <c r="J4" s="103"/>
    </row>
    <row r="5" spans="1:10" ht="19.5">
      <c r="A5" s="350" t="s">
        <v>305</v>
      </c>
      <c r="B5" s="351"/>
      <c r="C5" s="351"/>
      <c r="D5" s="351"/>
      <c r="E5" s="351"/>
      <c r="F5" s="351"/>
      <c r="G5" s="351"/>
      <c r="H5" s="351"/>
      <c r="I5" s="351"/>
      <c r="J5" s="103"/>
    </row>
    <row r="6" spans="1:10" ht="19.5">
      <c r="A6" s="350" t="s">
        <v>302</v>
      </c>
      <c r="B6" s="351"/>
      <c r="C6" s="351"/>
      <c r="D6" s="351"/>
      <c r="E6" s="351"/>
      <c r="F6" s="351"/>
      <c r="G6" s="351"/>
      <c r="H6" s="351"/>
      <c r="I6" s="351"/>
      <c r="J6" s="103"/>
    </row>
    <row r="7" spans="1:10" ht="20.25" thickBot="1">
      <c r="A7" s="340" t="s">
        <v>308</v>
      </c>
      <c r="B7" s="341"/>
      <c r="C7" s="341"/>
      <c r="D7" s="341"/>
      <c r="E7" s="341"/>
      <c r="F7" s="341"/>
      <c r="G7" s="341"/>
      <c r="H7" s="341"/>
      <c r="I7" s="341"/>
      <c r="J7" s="104" t="s">
        <v>304</v>
      </c>
    </row>
    <row r="8" spans="1:10" ht="22.5" customHeight="1" thickTop="1">
      <c r="A8" s="414" t="s">
        <v>5</v>
      </c>
      <c r="B8" s="414" t="s">
        <v>0</v>
      </c>
      <c r="C8" s="415" t="s">
        <v>1</v>
      </c>
      <c r="D8" s="414" t="s">
        <v>2</v>
      </c>
      <c r="E8" s="126" t="s">
        <v>89</v>
      </c>
      <c r="F8" s="126" t="s">
        <v>285</v>
      </c>
      <c r="G8" s="212" t="s">
        <v>63</v>
      </c>
      <c r="H8" s="419" t="s">
        <v>284</v>
      </c>
      <c r="I8" s="126" t="s">
        <v>286</v>
      </c>
      <c r="J8" s="338" t="s">
        <v>4</v>
      </c>
    </row>
    <row r="9" spans="1:10" ht="22.5" customHeight="1" thickBot="1">
      <c r="A9" s="339"/>
      <c r="B9" s="339"/>
      <c r="C9" s="343"/>
      <c r="D9" s="339"/>
      <c r="E9" s="106" t="s">
        <v>21</v>
      </c>
      <c r="F9" s="106" t="s">
        <v>21</v>
      </c>
      <c r="G9" s="205" t="s">
        <v>21</v>
      </c>
      <c r="H9" s="420"/>
      <c r="I9" s="106" t="s">
        <v>21</v>
      </c>
      <c r="J9" s="339"/>
    </row>
    <row r="10" spans="1:10" ht="20.25" thickTop="1">
      <c r="A10" s="124">
        <v>1</v>
      </c>
      <c r="B10" s="129" t="s">
        <v>279</v>
      </c>
      <c r="C10" s="126"/>
      <c r="D10" s="129"/>
      <c r="E10" s="126"/>
      <c r="F10" s="126"/>
      <c r="G10" s="112"/>
      <c r="H10" s="126"/>
      <c r="I10" s="126"/>
      <c r="J10" s="124"/>
    </row>
    <row r="11" spans="1:10" s="14" customFormat="1" ht="19.5">
      <c r="A11" s="19"/>
      <c r="B11" s="20" t="s">
        <v>271</v>
      </c>
      <c r="C11" s="25">
        <v>36</v>
      </c>
      <c r="D11" s="19" t="s">
        <v>277</v>
      </c>
      <c r="E11" s="25">
        <v>1000</v>
      </c>
      <c r="F11" s="23">
        <v>0</v>
      </c>
      <c r="G11" s="25">
        <f>ROUND(((E11*C11)+(C11*F11)),2)</f>
        <v>36000</v>
      </c>
      <c r="H11" s="206">
        <v>1.3592</v>
      </c>
      <c r="I11" s="23">
        <f>ROUND((G11*H11),2)</f>
        <v>48931.2</v>
      </c>
      <c r="J11" s="19"/>
    </row>
    <row r="12" spans="1:10" s="14" customFormat="1" ht="19.5">
      <c r="A12" s="19"/>
      <c r="B12" s="20" t="s">
        <v>272</v>
      </c>
      <c r="C12" s="25">
        <v>33</v>
      </c>
      <c r="D12" s="19" t="s">
        <v>200</v>
      </c>
      <c r="E12" s="25">
        <v>2300</v>
      </c>
      <c r="F12" s="23">
        <v>0</v>
      </c>
      <c r="G12" s="25">
        <f aca="true" t="shared" si="0" ref="G12:G44">ROUND(((E12*C12)+(C12*F12)),2)</f>
        <v>75900</v>
      </c>
      <c r="H12" s="206">
        <v>1.3592</v>
      </c>
      <c r="I12" s="23">
        <f aca="true" t="shared" si="1" ref="I12:I43">ROUND((G12*H12),2)</f>
        <v>103163.28</v>
      </c>
      <c r="J12" s="19"/>
    </row>
    <row r="13" spans="1:10" s="14" customFormat="1" ht="19.5">
      <c r="A13" s="19"/>
      <c r="B13" s="20" t="s">
        <v>273</v>
      </c>
      <c r="C13" s="25">
        <v>2</v>
      </c>
      <c r="D13" s="19" t="s">
        <v>200</v>
      </c>
      <c r="E13" s="25">
        <v>1200</v>
      </c>
      <c r="F13" s="23">
        <v>0</v>
      </c>
      <c r="G13" s="25">
        <f t="shared" si="0"/>
        <v>2400</v>
      </c>
      <c r="H13" s="206">
        <v>1.3592</v>
      </c>
      <c r="I13" s="23">
        <f t="shared" si="1"/>
        <v>3262.08</v>
      </c>
      <c r="J13" s="64"/>
    </row>
    <row r="14" spans="1:10" s="14" customFormat="1" ht="19.5">
      <c r="A14" s="19"/>
      <c r="B14" s="20" t="s">
        <v>274</v>
      </c>
      <c r="C14" s="25">
        <v>2</v>
      </c>
      <c r="D14" s="19" t="s">
        <v>200</v>
      </c>
      <c r="E14" s="25">
        <v>900</v>
      </c>
      <c r="F14" s="23">
        <v>0</v>
      </c>
      <c r="G14" s="25">
        <f t="shared" si="0"/>
        <v>1800</v>
      </c>
      <c r="H14" s="206">
        <v>1.3592</v>
      </c>
      <c r="I14" s="23">
        <f t="shared" si="1"/>
        <v>2446.56</v>
      </c>
      <c r="J14" s="64"/>
    </row>
    <row r="15" spans="1:10" s="14" customFormat="1" ht="19.5">
      <c r="A15" s="19"/>
      <c r="B15" s="20" t="s">
        <v>275</v>
      </c>
      <c r="C15" s="25">
        <v>288</v>
      </c>
      <c r="D15" s="19" t="s">
        <v>211</v>
      </c>
      <c r="E15" s="25">
        <v>30</v>
      </c>
      <c r="F15" s="23">
        <v>0</v>
      </c>
      <c r="G15" s="25">
        <f t="shared" si="0"/>
        <v>8640</v>
      </c>
      <c r="H15" s="206">
        <v>1.3592</v>
      </c>
      <c r="I15" s="23">
        <f t="shared" si="1"/>
        <v>11743.49</v>
      </c>
      <c r="J15" s="64"/>
    </row>
    <row r="16" spans="1:10" s="14" customFormat="1" ht="19.5">
      <c r="A16" s="19"/>
      <c r="B16" s="20" t="s">
        <v>276</v>
      </c>
      <c r="C16" s="25">
        <v>36</v>
      </c>
      <c r="D16" s="19" t="s">
        <v>211</v>
      </c>
      <c r="E16" s="25">
        <v>50</v>
      </c>
      <c r="F16" s="23">
        <v>0</v>
      </c>
      <c r="G16" s="25">
        <f t="shared" si="0"/>
        <v>1800</v>
      </c>
      <c r="H16" s="206">
        <v>1.3592</v>
      </c>
      <c r="I16" s="23">
        <f t="shared" si="1"/>
        <v>2446.56</v>
      </c>
      <c r="J16" s="64"/>
    </row>
    <row r="17" spans="1:10" s="14" customFormat="1" ht="19.5">
      <c r="A17" s="19"/>
      <c r="B17" s="20" t="s">
        <v>290</v>
      </c>
      <c r="C17" s="25">
        <v>15</v>
      </c>
      <c r="D17" s="19" t="s">
        <v>211</v>
      </c>
      <c r="E17" s="25">
        <v>170</v>
      </c>
      <c r="F17" s="23">
        <v>0</v>
      </c>
      <c r="G17" s="25">
        <f t="shared" si="0"/>
        <v>2550</v>
      </c>
      <c r="H17" s="206">
        <v>1.3592</v>
      </c>
      <c r="I17" s="23">
        <f t="shared" si="1"/>
        <v>3465.96</v>
      </c>
      <c r="J17" s="64"/>
    </row>
    <row r="18" spans="1:10" s="14" customFormat="1" ht="19.5">
      <c r="A18" s="19"/>
      <c r="B18" s="20" t="s">
        <v>281</v>
      </c>
      <c r="C18" s="25">
        <v>38</v>
      </c>
      <c r="D18" s="19" t="s">
        <v>282</v>
      </c>
      <c r="E18" s="25">
        <v>5</v>
      </c>
      <c r="F18" s="23">
        <v>0</v>
      </c>
      <c r="G18" s="25">
        <f t="shared" si="0"/>
        <v>190</v>
      </c>
      <c r="H18" s="206">
        <v>1.3592</v>
      </c>
      <c r="I18" s="23">
        <f t="shared" si="1"/>
        <v>258.25</v>
      </c>
      <c r="J18" s="64"/>
    </row>
    <row r="19" spans="1:10" s="14" customFormat="1" ht="19.5">
      <c r="A19" s="19"/>
      <c r="B19" s="20" t="s">
        <v>278</v>
      </c>
      <c r="C19" s="25">
        <v>132</v>
      </c>
      <c r="D19" s="19" t="s">
        <v>85</v>
      </c>
      <c r="E19" s="25"/>
      <c r="F19" s="23">
        <v>120</v>
      </c>
      <c r="G19" s="25">
        <f t="shared" si="0"/>
        <v>15840</v>
      </c>
      <c r="H19" s="206">
        <v>1.3592</v>
      </c>
      <c r="I19" s="23">
        <f t="shared" si="1"/>
        <v>21529.73</v>
      </c>
      <c r="J19" s="64"/>
    </row>
    <row r="20" spans="1:10" s="14" customFormat="1" ht="19.5">
      <c r="A20" s="19"/>
      <c r="B20" s="20" t="s">
        <v>288</v>
      </c>
      <c r="C20" s="25">
        <v>0.42</v>
      </c>
      <c r="D20" s="19" t="s">
        <v>11</v>
      </c>
      <c r="E20" s="25">
        <v>1550</v>
      </c>
      <c r="F20" s="23"/>
      <c r="G20" s="25">
        <f t="shared" si="0"/>
        <v>651</v>
      </c>
      <c r="H20" s="206">
        <v>1.3592</v>
      </c>
      <c r="I20" s="23">
        <f t="shared" si="1"/>
        <v>884.84</v>
      </c>
      <c r="J20" s="64"/>
    </row>
    <row r="21" spans="1:10" s="14" customFormat="1" ht="19.5">
      <c r="A21" s="19"/>
      <c r="B21" s="20" t="s">
        <v>289</v>
      </c>
      <c r="C21" s="25">
        <v>0.56</v>
      </c>
      <c r="D21" s="19" t="s">
        <v>11</v>
      </c>
      <c r="E21" s="25"/>
      <c r="F21" s="23">
        <v>99</v>
      </c>
      <c r="G21" s="25">
        <f t="shared" si="0"/>
        <v>55.44</v>
      </c>
      <c r="H21" s="206">
        <v>1.3592</v>
      </c>
      <c r="I21" s="23">
        <f t="shared" si="1"/>
        <v>75.35</v>
      </c>
      <c r="J21" s="64"/>
    </row>
    <row r="22" spans="1:10" ht="19.5">
      <c r="A22" s="207">
        <v>2</v>
      </c>
      <c r="B22" s="129" t="s">
        <v>270</v>
      </c>
      <c r="C22" s="125"/>
      <c r="D22" s="124"/>
      <c r="E22" s="126"/>
      <c r="F22" s="23"/>
      <c r="G22" s="25">
        <f t="shared" si="0"/>
        <v>0</v>
      </c>
      <c r="H22" s="206"/>
      <c r="I22" s="23">
        <f t="shared" si="1"/>
        <v>0</v>
      </c>
      <c r="J22" s="124"/>
    </row>
    <row r="23" spans="1:10" s="14" customFormat="1" ht="19.5">
      <c r="A23" s="19"/>
      <c r="B23" s="20" t="s">
        <v>271</v>
      </c>
      <c r="C23" s="25">
        <v>30</v>
      </c>
      <c r="D23" s="19" t="s">
        <v>277</v>
      </c>
      <c r="E23" s="25">
        <v>1000</v>
      </c>
      <c r="F23" s="23">
        <v>0</v>
      </c>
      <c r="G23" s="25">
        <f t="shared" si="0"/>
        <v>30000</v>
      </c>
      <c r="H23" s="206">
        <v>1.3592</v>
      </c>
      <c r="I23" s="23">
        <f t="shared" si="1"/>
        <v>40776</v>
      </c>
      <c r="J23" s="19"/>
    </row>
    <row r="24" spans="1:10" s="14" customFormat="1" ht="19.5">
      <c r="A24" s="19"/>
      <c r="B24" s="20" t="s">
        <v>272</v>
      </c>
      <c r="C24" s="25">
        <v>29</v>
      </c>
      <c r="D24" s="19" t="s">
        <v>200</v>
      </c>
      <c r="E24" s="25">
        <v>2300</v>
      </c>
      <c r="F24" s="23">
        <v>0</v>
      </c>
      <c r="G24" s="25">
        <f t="shared" si="0"/>
        <v>66700</v>
      </c>
      <c r="H24" s="206">
        <v>1.3592</v>
      </c>
      <c r="I24" s="23">
        <f t="shared" si="1"/>
        <v>90658.64</v>
      </c>
      <c r="J24" s="19"/>
    </row>
    <row r="25" spans="1:10" s="14" customFormat="1" ht="19.5">
      <c r="A25" s="19"/>
      <c r="B25" s="20" t="s">
        <v>273</v>
      </c>
      <c r="C25" s="25">
        <v>2</v>
      </c>
      <c r="D25" s="19" t="s">
        <v>200</v>
      </c>
      <c r="E25" s="25">
        <v>1200</v>
      </c>
      <c r="F25" s="23">
        <v>0</v>
      </c>
      <c r="G25" s="25">
        <f t="shared" si="0"/>
        <v>2400</v>
      </c>
      <c r="H25" s="206">
        <v>1.3592</v>
      </c>
      <c r="I25" s="23">
        <f t="shared" si="1"/>
        <v>3262.08</v>
      </c>
      <c r="J25" s="64"/>
    </row>
    <row r="26" spans="1:10" s="14" customFormat="1" ht="19.5">
      <c r="A26" s="19"/>
      <c r="B26" s="20" t="s">
        <v>274</v>
      </c>
      <c r="C26" s="25">
        <v>2</v>
      </c>
      <c r="D26" s="19" t="s">
        <v>200</v>
      </c>
      <c r="E26" s="25">
        <v>900</v>
      </c>
      <c r="F26" s="23">
        <v>0</v>
      </c>
      <c r="G26" s="25">
        <f t="shared" si="0"/>
        <v>1800</v>
      </c>
      <c r="H26" s="206">
        <v>1.3592</v>
      </c>
      <c r="I26" s="23">
        <f t="shared" si="1"/>
        <v>2446.56</v>
      </c>
      <c r="J26" s="64"/>
    </row>
    <row r="27" spans="1:10" s="14" customFormat="1" ht="19.5">
      <c r="A27" s="19"/>
      <c r="B27" s="20" t="s">
        <v>275</v>
      </c>
      <c r="C27" s="25">
        <v>240</v>
      </c>
      <c r="D27" s="19" t="s">
        <v>211</v>
      </c>
      <c r="E27" s="25">
        <v>30</v>
      </c>
      <c r="F27" s="23">
        <v>0</v>
      </c>
      <c r="G27" s="25">
        <f t="shared" si="0"/>
        <v>7200</v>
      </c>
      <c r="H27" s="206">
        <v>1.3592</v>
      </c>
      <c r="I27" s="23">
        <f t="shared" si="1"/>
        <v>9786.24</v>
      </c>
      <c r="J27" s="64"/>
    </row>
    <row r="28" spans="1:10" s="14" customFormat="1" ht="19.5">
      <c r="A28" s="19"/>
      <c r="B28" s="20" t="s">
        <v>276</v>
      </c>
      <c r="C28" s="25">
        <v>30</v>
      </c>
      <c r="D28" s="19" t="s">
        <v>211</v>
      </c>
      <c r="E28" s="25">
        <v>50</v>
      </c>
      <c r="F28" s="23">
        <v>0</v>
      </c>
      <c r="G28" s="25">
        <f t="shared" si="0"/>
        <v>1500</v>
      </c>
      <c r="H28" s="206">
        <v>1.3592</v>
      </c>
      <c r="I28" s="23">
        <f t="shared" si="1"/>
        <v>2038.8</v>
      </c>
      <c r="J28" s="64"/>
    </row>
    <row r="29" spans="1:10" s="14" customFormat="1" ht="19.5">
      <c r="A29" s="19"/>
      <c r="B29" s="20" t="s">
        <v>280</v>
      </c>
      <c r="C29" s="25">
        <v>15</v>
      </c>
      <c r="D29" s="19" t="s">
        <v>211</v>
      </c>
      <c r="E29" s="25">
        <v>170</v>
      </c>
      <c r="F29" s="23">
        <v>0</v>
      </c>
      <c r="G29" s="25">
        <f t="shared" si="0"/>
        <v>2550</v>
      </c>
      <c r="H29" s="206">
        <v>1.3592</v>
      </c>
      <c r="I29" s="23">
        <f t="shared" si="1"/>
        <v>3465.96</v>
      </c>
      <c r="J29" s="64"/>
    </row>
    <row r="30" spans="1:10" ht="19.5">
      <c r="A30" s="350" t="s">
        <v>266</v>
      </c>
      <c r="B30" s="351"/>
      <c r="C30" s="351"/>
      <c r="D30" s="351"/>
      <c r="E30" s="351"/>
      <c r="F30" s="351"/>
      <c r="G30" s="351"/>
      <c r="H30" s="351"/>
      <c r="I30" s="351"/>
      <c r="J30" s="418"/>
    </row>
    <row r="31" spans="1:10" ht="19.5">
      <c r="A31" s="348" t="s">
        <v>269</v>
      </c>
      <c r="B31" s="349"/>
      <c r="C31" s="349"/>
      <c r="D31" s="349"/>
      <c r="E31" s="349"/>
      <c r="F31" s="349"/>
      <c r="G31" s="349"/>
      <c r="H31" s="349"/>
      <c r="I31" s="349"/>
      <c r="J31" s="101" t="s">
        <v>55</v>
      </c>
    </row>
    <row r="32" spans="1:10" ht="19.5">
      <c r="A32" s="350" t="s">
        <v>267</v>
      </c>
      <c r="B32" s="351"/>
      <c r="C32" s="351"/>
      <c r="D32" s="351"/>
      <c r="E32" s="351"/>
      <c r="F32" s="351"/>
      <c r="G32" s="351"/>
      <c r="H32" s="351"/>
      <c r="I32" s="351"/>
      <c r="J32" s="199" t="s">
        <v>300</v>
      </c>
    </row>
    <row r="33" spans="1:10" ht="19.5">
      <c r="A33" s="350" t="s">
        <v>268</v>
      </c>
      <c r="B33" s="351"/>
      <c r="C33" s="351"/>
      <c r="D33" s="351"/>
      <c r="E33" s="351"/>
      <c r="F33" s="351"/>
      <c r="G33" s="351"/>
      <c r="H33" s="351"/>
      <c r="I33" s="351"/>
      <c r="J33" s="103"/>
    </row>
    <row r="34" spans="1:10" ht="19.5">
      <c r="A34" s="350" t="s">
        <v>291</v>
      </c>
      <c r="B34" s="351"/>
      <c r="C34" s="351"/>
      <c r="D34" s="351"/>
      <c r="E34" s="351"/>
      <c r="F34" s="351"/>
      <c r="G34" s="351"/>
      <c r="H34" s="351"/>
      <c r="I34" s="351"/>
      <c r="J34" s="103"/>
    </row>
    <row r="35" spans="1:10" ht="19.5">
      <c r="A35" s="198" t="str">
        <f>A6</f>
        <v>ปริมาณงาน : ก่อสร้างราวกันตก จำนวน 2 จุด ความยาวรวม 248 เมตร </v>
      </c>
      <c r="B35" s="197"/>
      <c r="C35" s="197"/>
      <c r="D35" s="197"/>
      <c r="E35" s="197"/>
      <c r="F35" s="197"/>
      <c r="G35" s="197"/>
      <c r="H35" s="197"/>
      <c r="I35" s="197"/>
      <c r="J35" s="103"/>
    </row>
    <row r="36" spans="1:10" ht="20.25" thickBot="1">
      <c r="A36" s="340" t="s">
        <v>308</v>
      </c>
      <c r="B36" s="341"/>
      <c r="C36" s="341"/>
      <c r="D36" s="341"/>
      <c r="E36" s="341"/>
      <c r="F36" s="341"/>
      <c r="G36" s="341"/>
      <c r="H36" s="341"/>
      <c r="I36" s="341"/>
      <c r="J36" s="104" t="s">
        <v>304</v>
      </c>
    </row>
    <row r="37" spans="1:10" ht="22.5" customHeight="1" thickTop="1">
      <c r="A37" s="414" t="s">
        <v>5</v>
      </c>
      <c r="B37" s="414" t="s">
        <v>0</v>
      </c>
      <c r="C37" s="415" t="s">
        <v>1</v>
      </c>
      <c r="D37" s="414" t="s">
        <v>2</v>
      </c>
      <c r="E37" s="126" t="s">
        <v>19</v>
      </c>
      <c r="F37" s="126" t="s">
        <v>316</v>
      </c>
      <c r="G37" s="212" t="s">
        <v>63</v>
      </c>
      <c r="H37" s="416" t="s">
        <v>64</v>
      </c>
      <c r="I37" s="126" t="s">
        <v>286</v>
      </c>
      <c r="J37" s="338" t="s">
        <v>4</v>
      </c>
    </row>
    <row r="38" spans="1:10" ht="22.5" customHeight="1" thickBot="1">
      <c r="A38" s="339"/>
      <c r="B38" s="339"/>
      <c r="C38" s="343"/>
      <c r="D38" s="339"/>
      <c r="E38" s="106" t="s">
        <v>21</v>
      </c>
      <c r="F38" s="106" t="s">
        <v>21</v>
      </c>
      <c r="G38" s="205" t="s">
        <v>21</v>
      </c>
      <c r="H38" s="417"/>
      <c r="I38" s="106" t="s">
        <v>21</v>
      </c>
      <c r="J38" s="339"/>
    </row>
    <row r="39" spans="1:10" s="14" customFormat="1" ht="20.25" thickTop="1">
      <c r="A39" s="19"/>
      <c r="B39" s="20"/>
      <c r="C39" s="25"/>
      <c r="D39" s="19"/>
      <c r="E39" s="25"/>
      <c r="F39" s="23"/>
      <c r="G39" s="25"/>
      <c r="H39" s="206"/>
      <c r="I39" s="23"/>
      <c r="J39" s="64"/>
    </row>
    <row r="40" spans="1:10" s="14" customFormat="1" ht="19.5">
      <c r="A40" s="19"/>
      <c r="B40" s="20" t="s">
        <v>278</v>
      </c>
      <c r="C40" s="25">
        <v>116</v>
      </c>
      <c r="D40" s="19" t="s">
        <v>85</v>
      </c>
      <c r="E40" s="25"/>
      <c r="F40" s="23">
        <v>120</v>
      </c>
      <c r="G40" s="25">
        <f t="shared" si="0"/>
        <v>13920</v>
      </c>
      <c r="H40" s="206">
        <v>1.3592</v>
      </c>
      <c r="I40" s="23">
        <f t="shared" si="1"/>
        <v>18920.06</v>
      </c>
      <c r="J40" s="64"/>
    </row>
    <row r="41" spans="1:10" s="14" customFormat="1" ht="19.5">
      <c r="A41" s="19"/>
      <c r="B41" s="20" t="s">
        <v>281</v>
      </c>
      <c r="C41" s="25">
        <v>32</v>
      </c>
      <c r="D41" s="19" t="s">
        <v>282</v>
      </c>
      <c r="E41" s="25">
        <v>5</v>
      </c>
      <c r="F41" s="23">
        <v>0</v>
      </c>
      <c r="G41" s="25">
        <f t="shared" si="0"/>
        <v>160</v>
      </c>
      <c r="H41" s="206">
        <v>1.3592</v>
      </c>
      <c r="I41" s="23">
        <f t="shared" si="1"/>
        <v>217.47</v>
      </c>
      <c r="J41" s="64"/>
    </row>
    <row r="42" spans="1:10" s="14" customFormat="1" ht="19.5">
      <c r="A42" s="19"/>
      <c r="B42" s="20" t="s">
        <v>288</v>
      </c>
      <c r="C42" s="25">
        <v>0.35</v>
      </c>
      <c r="D42" s="19" t="s">
        <v>11</v>
      </c>
      <c r="E42" s="25">
        <v>1550</v>
      </c>
      <c r="F42" s="23"/>
      <c r="G42" s="25">
        <f t="shared" si="0"/>
        <v>542.5</v>
      </c>
      <c r="H42" s="206">
        <v>1.3592</v>
      </c>
      <c r="I42" s="23">
        <f t="shared" si="1"/>
        <v>737.37</v>
      </c>
      <c r="J42" s="64"/>
    </row>
    <row r="43" spans="1:10" s="14" customFormat="1" ht="19.5">
      <c r="A43" s="19"/>
      <c r="B43" s="20" t="s">
        <v>289</v>
      </c>
      <c r="C43" s="25">
        <v>0.47</v>
      </c>
      <c r="D43" s="19" t="s">
        <v>11</v>
      </c>
      <c r="E43" s="25"/>
      <c r="F43" s="23">
        <v>99</v>
      </c>
      <c r="G43" s="25">
        <f t="shared" si="0"/>
        <v>46.53</v>
      </c>
      <c r="H43" s="206">
        <v>1.3592</v>
      </c>
      <c r="I43" s="23">
        <f t="shared" si="1"/>
        <v>63.24</v>
      </c>
      <c r="J43" s="64"/>
    </row>
    <row r="44" spans="1:10" s="14" customFormat="1" ht="19.5">
      <c r="A44" s="19"/>
      <c r="B44" s="20"/>
      <c r="C44" s="25"/>
      <c r="D44" s="19"/>
      <c r="E44" s="25"/>
      <c r="F44" s="23"/>
      <c r="G44" s="25">
        <f t="shared" si="0"/>
        <v>0</v>
      </c>
      <c r="H44" s="206"/>
      <c r="I44" s="23"/>
      <c r="J44" s="64"/>
    </row>
    <row r="45" spans="1:10" ht="19.5">
      <c r="A45" s="108"/>
      <c r="B45" s="115" t="s">
        <v>287</v>
      </c>
      <c r="C45" s="110"/>
      <c r="D45" s="108"/>
      <c r="E45" s="110"/>
      <c r="F45" s="111"/>
      <c r="G45" s="110">
        <f>SUM(G11:G44)</f>
        <v>272645.47000000003</v>
      </c>
      <c r="H45" s="206">
        <v>1.3592</v>
      </c>
      <c r="I45" s="111">
        <f>SUM(I10:I43)</f>
        <v>370579.7199999999</v>
      </c>
      <c r="J45" s="108"/>
    </row>
    <row r="46" spans="1:10" ht="19.5">
      <c r="A46" s="108"/>
      <c r="B46" s="208" t="s">
        <v>265</v>
      </c>
      <c r="C46" s="209"/>
      <c r="D46" s="210"/>
      <c r="E46" s="209"/>
      <c r="F46" s="211"/>
      <c r="G46" s="209"/>
      <c r="H46" s="211"/>
      <c r="I46" s="211">
        <v>370000</v>
      </c>
      <c r="J46" s="108"/>
    </row>
    <row r="47" spans="1:10" ht="19.5">
      <c r="A47" s="108"/>
      <c r="B47" s="116"/>
      <c r="C47" s="110"/>
      <c r="D47" s="108"/>
      <c r="E47" s="110"/>
      <c r="F47" s="111"/>
      <c r="G47" s="110"/>
      <c r="H47" s="111"/>
      <c r="I47" s="111"/>
      <c r="J47" s="108"/>
    </row>
    <row r="48" spans="1:10" ht="19.5">
      <c r="A48" s="108"/>
      <c r="B48" s="113"/>
      <c r="C48" s="110"/>
      <c r="D48" s="108"/>
      <c r="E48" s="110"/>
      <c r="F48" s="111"/>
      <c r="G48" s="110"/>
      <c r="H48" s="111"/>
      <c r="I48" s="111"/>
      <c r="J48" s="108"/>
    </row>
    <row r="49" spans="1:10" ht="19.5">
      <c r="A49" s="108"/>
      <c r="B49" s="113"/>
      <c r="C49" s="110"/>
      <c r="D49" s="108"/>
      <c r="E49" s="110"/>
      <c r="F49" s="111"/>
      <c r="G49" s="110"/>
      <c r="H49" s="111"/>
      <c r="I49" s="111"/>
      <c r="J49" s="108"/>
    </row>
  </sheetData>
  <sheetProtection/>
  <mergeCells count="25">
    <mergeCell ref="A1:J1"/>
    <mergeCell ref="A2:I2"/>
    <mergeCell ref="A3:I3"/>
    <mergeCell ref="A4:I4"/>
    <mergeCell ref="A5:I5"/>
    <mergeCell ref="A6:I6"/>
    <mergeCell ref="A7:I7"/>
    <mergeCell ref="A8:A9"/>
    <mergeCell ref="B8:B9"/>
    <mergeCell ref="C8:C9"/>
    <mergeCell ref="D8:D9"/>
    <mergeCell ref="H8:H9"/>
    <mergeCell ref="J8:J9"/>
    <mergeCell ref="A30:J30"/>
    <mergeCell ref="A31:I31"/>
    <mergeCell ref="A32:I32"/>
    <mergeCell ref="A33:I33"/>
    <mergeCell ref="A34:I34"/>
    <mergeCell ref="J37:J38"/>
    <mergeCell ref="A36:I36"/>
    <mergeCell ref="A37:A38"/>
    <mergeCell ref="B37:B38"/>
    <mergeCell ref="C37:C38"/>
    <mergeCell ref="D37:D38"/>
    <mergeCell ref="H37:H38"/>
  </mergeCells>
  <printOptions/>
  <pageMargins left="0.1968503937007874" right="0.15748031496062992" top="0.1968503937007874" bottom="0.1968503937007874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7.421875" style="14" customWidth="1"/>
    <col min="4" max="4" width="13.8515625" style="78" customWidth="1"/>
    <col min="5" max="5" width="10.421875" style="14" customWidth="1"/>
    <col min="6" max="6" width="14.8515625" style="14" customWidth="1"/>
    <col min="7" max="7" width="11.57421875" style="14" customWidth="1"/>
    <col min="8" max="8" width="11.0039062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352" t="str">
        <f>'ปร.4(งานทาง)'!A1:J1</f>
        <v>บัญชีสรุปราคางานก่อสร้าง</v>
      </c>
      <c r="B1" s="353"/>
      <c r="C1" s="353"/>
      <c r="D1" s="353"/>
      <c r="E1" s="353"/>
      <c r="F1" s="353"/>
      <c r="G1" s="353"/>
      <c r="H1" s="69" t="s">
        <v>312</v>
      </c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352" t="str">
        <f>'1ปร.4(งานอาคาร)'!A2:I2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2" s="353"/>
      <c r="C2" s="353"/>
      <c r="D2" s="353"/>
      <c r="E2" s="353"/>
      <c r="F2" s="353"/>
      <c r="G2" s="353"/>
      <c r="H2" s="401"/>
    </row>
    <row r="3" spans="1:8" ht="19.5">
      <c r="A3" s="352" t="str">
        <f>'1ปร.4(งานอาคาร)'!A3:I3</f>
        <v>ชื่อโครงการ      : ก่อสร้างรางระบายน้ำ  บ้านป่ากลาง  หมู่ที่ 7 ( บริเวณบ้านผู้ช่วยวิชาญถึงบ้านอาจารย์พนม )</v>
      </c>
      <c r="B3" s="353"/>
      <c r="C3" s="353"/>
      <c r="D3" s="353"/>
      <c r="E3" s="353"/>
      <c r="F3" s="353"/>
      <c r="G3" s="353"/>
      <c r="H3" s="401"/>
    </row>
    <row r="4" spans="1:8" ht="19.5">
      <c r="A4" s="352" t="str">
        <f>'1ปร.4(งานอาคาร)'!A4:I4</f>
        <v>สถานที่ก่อสร้าง : บ้านป่ากลาง  หมู่ที่ 7 ตำบลป่ากลาง  อำเภอปัว จังหวัดน่าน</v>
      </c>
      <c r="B4" s="353"/>
      <c r="C4" s="353"/>
      <c r="D4" s="353"/>
      <c r="E4" s="353"/>
      <c r="F4" s="353"/>
      <c r="G4" s="353"/>
      <c r="H4" s="401"/>
    </row>
    <row r="5" spans="1:8" ht="19.5">
      <c r="A5" s="352" t="str">
        <f>'1ปร.4(งานอาคาร)'!A5:I5</f>
        <v>ปริมาณงาน      :   ก่อสร้างรางระบายน้ำขนาดกว้าง 0.40 เมตร  ลึก 0.35 เมตร  ยาว  55.50  เมตร  พร้อมผาปิดตะแกรงเหล็ก</v>
      </c>
      <c r="B5" s="353"/>
      <c r="C5" s="353"/>
      <c r="D5" s="353"/>
      <c r="E5" s="353"/>
      <c r="F5" s="353"/>
      <c r="G5" s="353"/>
      <c r="H5" s="401"/>
    </row>
    <row r="6" spans="1:8" ht="21.75" customHeight="1">
      <c r="A6" s="410" t="str">
        <f>'1ปร.4(งานอาคาร)'!A6:I6</f>
        <v>รายละเอียดแบบ :แบบองค์การบริหารส่วนตำบลป่ากลาง  เลขที่   20/2561                 จำนวน   5    แผ่น</v>
      </c>
      <c r="B6" s="411"/>
      <c r="C6" s="411"/>
      <c r="D6" s="411"/>
      <c r="E6" s="411"/>
      <c r="F6" s="411"/>
      <c r="G6" s="411"/>
      <c r="H6" s="426"/>
    </row>
    <row r="7" spans="1:8" ht="21.75" customHeight="1" thickBot="1">
      <c r="A7" s="393" t="str">
        <f>'1ปร.4(งานอาคาร)'!G6</f>
        <v>กำหนดราคากลาง  : วันที่   11    ธันวาคม  พ.ศ.2561</v>
      </c>
      <c r="B7" s="394"/>
      <c r="C7" s="394"/>
      <c r="D7" s="394"/>
      <c r="E7" s="394"/>
      <c r="F7" s="394"/>
      <c r="G7" s="394"/>
      <c r="H7" s="424"/>
    </row>
    <row r="8" spans="1:8" ht="19.5">
      <c r="A8" s="413" t="s">
        <v>5</v>
      </c>
      <c r="B8" s="413" t="s">
        <v>0</v>
      </c>
      <c r="C8" s="413"/>
      <c r="D8" s="215" t="s">
        <v>63</v>
      </c>
      <c r="E8" s="425" t="s">
        <v>64</v>
      </c>
      <c r="F8" s="228" t="s">
        <v>34</v>
      </c>
      <c r="G8" s="413" t="s">
        <v>4</v>
      </c>
      <c r="H8" s="413"/>
    </row>
    <row r="9" spans="1:8" ht="22.5" customHeight="1" thickBot="1">
      <c r="A9" s="398"/>
      <c r="B9" s="398"/>
      <c r="C9" s="398"/>
      <c r="D9" s="71" t="s">
        <v>65</v>
      </c>
      <c r="E9" s="355"/>
      <c r="F9" s="213" t="s">
        <v>21</v>
      </c>
      <c r="G9" s="398"/>
      <c r="H9" s="398"/>
    </row>
    <row r="10" spans="1:8" ht="20.25" thickTop="1">
      <c r="A10" s="15">
        <v>1</v>
      </c>
      <c r="B10" s="399" t="s">
        <v>283</v>
      </c>
      <c r="C10" s="400"/>
      <c r="D10" s="72">
        <f>'1ปร.4(งานอาคาร)'!I29</f>
        <v>206701.28</v>
      </c>
      <c r="E10" s="73">
        <f>H16</f>
        <v>1.3592</v>
      </c>
      <c r="F10" s="48">
        <f>ROUND((D10*E10),2)</f>
        <v>280948.38</v>
      </c>
      <c r="G10" s="389" t="s">
        <v>66</v>
      </c>
      <c r="H10" s="390"/>
    </row>
    <row r="11" spans="1:8" ht="19.5">
      <c r="A11" s="17">
        <v>2</v>
      </c>
      <c r="B11" s="389" t="s">
        <v>319</v>
      </c>
      <c r="C11" s="390"/>
      <c r="D11" s="75"/>
      <c r="E11" s="74"/>
      <c r="F11" s="52"/>
      <c r="G11" s="389" t="s">
        <v>155</v>
      </c>
      <c r="H11" s="390"/>
    </row>
    <row r="12" spans="1:8" ht="19.5">
      <c r="A12" s="143"/>
      <c r="B12" s="389"/>
      <c r="C12" s="390"/>
      <c r="D12" s="75"/>
      <c r="E12" s="51"/>
      <c r="F12" s="75"/>
      <c r="G12" s="389" t="s">
        <v>71</v>
      </c>
      <c r="H12" s="390"/>
    </row>
    <row r="13" spans="1:8" ht="19.5">
      <c r="A13" s="17"/>
      <c r="B13" s="366"/>
      <c r="C13" s="368"/>
      <c r="D13" s="75"/>
      <c r="E13" s="51"/>
      <c r="F13" s="50"/>
      <c r="G13" s="389" t="s">
        <v>154</v>
      </c>
      <c r="H13" s="390"/>
    </row>
    <row r="14" spans="1:8" ht="19.5">
      <c r="A14" s="50"/>
      <c r="B14" s="366"/>
      <c r="C14" s="368"/>
      <c r="D14" s="75"/>
      <c r="E14" s="51"/>
      <c r="F14" s="50"/>
      <c r="G14" s="389" t="s">
        <v>67</v>
      </c>
      <c r="H14" s="390"/>
    </row>
    <row r="15" spans="1:8" ht="19.5">
      <c r="A15" s="50"/>
      <c r="B15" s="366"/>
      <c r="C15" s="368"/>
      <c r="D15" s="75"/>
      <c r="E15" s="51"/>
      <c r="F15" s="50"/>
      <c r="G15" s="44" t="s">
        <v>249</v>
      </c>
      <c r="H15" s="45"/>
    </row>
    <row r="16" spans="1:8" ht="20.25" thickBot="1">
      <c r="A16" s="50"/>
      <c r="B16" s="366"/>
      <c r="C16" s="368"/>
      <c r="D16" s="75"/>
      <c r="E16" s="51"/>
      <c r="F16" s="50"/>
      <c r="G16" s="226" t="s">
        <v>311</v>
      </c>
      <c r="H16" s="227">
        <v>1.3592</v>
      </c>
    </row>
    <row r="17" spans="1:8" ht="21" thickBot="1" thickTop="1">
      <c r="A17" s="405" t="s">
        <v>264</v>
      </c>
      <c r="B17" s="406"/>
      <c r="C17" s="406"/>
      <c r="D17" s="406"/>
      <c r="E17" s="407"/>
      <c r="F17" s="201">
        <f>SUM(F10:F16)</f>
        <v>280948.38</v>
      </c>
      <c r="G17" s="378" t="s">
        <v>101</v>
      </c>
      <c r="H17" s="379"/>
    </row>
    <row r="18" spans="1:8" ht="21" thickBot="1" thickTop="1">
      <c r="A18" s="405" t="s">
        <v>94</v>
      </c>
      <c r="B18" s="406"/>
      <c r="C18" s="406"/>
      <c r="D18" s="406"/>
      <c r="E18" s="407"/>
      <c r="F18" s="200">
        <f>ROUNDDOWN(F17,2)</f>
        <v>280948.38</v>
      </c>
      <c r="G18" s="383" t="s">
        <v>260</v>
      </c>
      <c r="H18" s="384"/>
    </row>
    <row r="19" spans="1:8" ht="24" customHeight="1" thickBot="1" thickTop="1">
      <c r="A19" s="56" t="s">
        <v>68</v>
      </c>
      <c r="B19" s="385" t="str">
        <f>CONCATENATE("(",_xlfn.BAHTTEXT(F18),")")</f>
        <v>(สองแสนแปดหมื่นเก้าร้อยสี่สิบแปดบาทสามสิบแปดสตางค์)</v>
      </c>
      <c r="C19" s="385"/>
      <c r="D19" s="385"/>
      <c r="E19" s="385"/>
      <c r="F19" s="386"/>
      <c r="G19" s="127"/>
      <c r="H19" s="128"/>
    </row>
    <row r="20" spans="1:8" ht="24" customHeight="1" thickBot="1" thickTop="1">
      <c r="A20" s="56" t="s">
        <v>156</v>
      </c>
      <c r="B20" s="127"/>
      <c r="C20" s="408" t="s">
        <v>418</v>
      </c>
      <c r="D20" s="408"/>
      <c r="E20" s="408"/>
      <c r="F20" s="408"/>
      <c r="G20" s="408"/>
      <c r="H20" s="409"/>
    </row>
    <row r="21" spans="1:8" ht="24" customHeight="1" thickTop="1">
      <c r="A21" s="318"/>
      <c r="B21" s="318"/>
      <c r="C21" s="318"/>
      <c r="D21" s="318"/>
      <c r="E21" s="318"/>
      <c r="F21" s="318"/>
      <c r="G21" s="318"/>
      <c r="H21" s="318"/>
    </row>
    <row r="22" spans="1:8" ht="24" customHeight="1">
      <c r="A22" s="318"/>
      <c r="B22" s="318"/>
      <c r="C22" s="318"/>
      <c r="D22" s="318"/>
      <c r="E22" s="318"/>
      <c r="F22" s="318"/>
      <c r="G22" s="318"/>
      <c r="H22" s="318"/>
    </row>
    <row r="23" spans="1:8" ht="24" customHeight="1">
      <c r="A23" s="318"/>
      <c r="B23" s="318"/>
      <c r="C23" s="318"/>
      <c r="D23" s="318"/>
      <c r="E23" s="318"/>
      <c r="F23" s="318"/>
      <c r="G23" s="318"/>
      <c r="H23" s="318"/>
    </row>
    <row r="25" spans="1:12" ht="19.5">
      <c r="A25" s="310"/>
      <c r="B25" s="310"/>
      <c r="C25" s="314" t="s">
        <v>451</v>
      </c>
      <c r="D25" s="311"/>
      <c r="E25" s="314"/>
      <c r="F25" s="314"/>
      <c r="G25" s="314"/>
      <c r="H25" s="312"/>
      <c r="I25" s="310"/>
      <c r="J25" s="311"/>
      <c r="K25" s="310"/>
      <c r="L25" s="310"/>
    </row>
    <row r="26" spans="1:12" ht="19.5">
      <c r="A26" s="310"/>
      <c r="B26" s="310"/>
      <c r="C26" s="422" t="str">
        <f>E43</f>
        <v>( นายสุภาพ  ปัญญา )</v>
      </c>
      <c r="D26" s="422"/>
      <c r="E26" s="310"/>
      <c r="F26" s="315"/>
      <c r="G26" s="315"/>
      <c r="H26" s="310"/>
      <c r="I26" s="310"/>
      <c r="J26" s="310"/>
      <c r="K26" s="310"/>
      <c r="L26" s="310"/>
    </row>
    <row r="27" spans="1:12" ht="19.5">
      <c r="A27" s="310"/>
      <c r="B27" s="310"/>
      <c r="C27" s="422" t="str">
        <f>G43</f>
        <v>รองปลัด อบต.ป่ากลาง</v>
      </c>
      <c r="D27" s="422"/>
      <c r="E27" s="310"/>
      <c r="F27" s="315"/>
      <c r="G27" s="315"/>
      <c r="H27" s="310"/>
      <c r="I27" s="310"/>
      <c r="J27" s="310"/>
      <c r="K27" s="310"/>
      <c r="L27" s="310"/>
    </row>
    <row r="28" spans="1:12" ht="19.5">
      <c r="A28" s="310"/>
      <c r="B28" s="310"/>
      <c r="C28" s="311"/>
      <c r="D28" s="311"/>
      <c r="E28" s="310"/>
      <c r="F28" s="315"/>
      <c r="G28" s="315"/>
      <c r="H28" s="310"/>
      <c r="I28" s="310"/>
      <c r="J28" s="310"/>
      <c r="K28" s="310"/>
      <c r="L28" s="310"/>
    </row>
    <row r="29" spans="1:12" ht="19.5">
      <c r="A29" s="314" t="s">
        <v>454</v>
      </c>
      <c r="B29" s="314"/>
      <c r="C29" s="314"/>
      <c r="D29" s="314"/>
      <c r="E29" s="314" t="s">
        <v>453</v>
      </c>
      <c r="F29" s="310"/>
      <c r="G29" s="314"/>
      <c r="H29" s="314"/>
      <c r="I29" s="314"/>
      <c r="J29" s="310"/>
      <c r="K29" s="310"/>
      <c r="L29" s="310"/>
    </row>
    <row r="30" spans="1:12" ht="22.5" customHeight="1">
      <c r="A30" s="421" t="str">
        <f>E53</f>
        <v>( นายนัฏฐิชัย  ใจมั่น )</v>
      </c>
      <c r="B30" s="421"/>
      <c r="C30" s="315"/>
      <c r="D30" s="315"/>
      <c r="E30" s="422" t="str">
        <f>E56</f>
        <v>( นายสุรเดช   พรมมีเดช )</v>
      </c>
      <c r="F30" s="422"/>
      <c r="G30" s="310"/>
      <c r="H30" s="315"/>
      <c r="I30" s="315"/>
      <c r="J30" s="310"/>
      <c r="K30" s="310"/>
      <c r="L30" s="310"/>
    </row>
    <row r="31" spans="1:12" ht="22.5" customHeight="1">
      <c r="A31" s="421" t="str">
        <f>G53</f>
        <v>ผู้อำนวยการกองช่าง</v>
      </c>
      <c r="B31" s="421"/>
      <c r="C31" s="315"/>
      <c r="D31" s="315"/>
      <c r="E31" s="423" t="str">
        <f>G56</f>
        <v>นายช่างโยธา</v>
      </c>
      <c r="F31" s="422"/>
      <c r="G31" s="310"/>
      <c r="H31" s="315"/>
      <c r="I31" s="315"/>
      <c r="J31" s="310"/>
      <c r="K31" s="310"/>
      <c r="L31" s="310"/>
    </row>
    <row r="32" spans="1:12" ht="19.5">
      <c r="A32" s="312"/>
      <c r="B32" s="310"/>
      <c r="C32" s="310"/>
      <c r="D32" s="310"/>
      <c r="E32" s="310"/>
      <c r="F32" s="310"/>
      <c r="G32" s="310"/>
      <c r="H32" s="313"/>
      <c r="I32" s="313"/>
      <c r="J32" s="313"/>
      <c r="K32" s="310"/>
      <c r="L32" s="310"/>
    </row>
    <row r="33" spans="1:12" ht="19.5">
      <c r="A33" s="314" t="s">
        <v>454</v>
      </c>
      <c r="B33" s="314"/>
      <c r="C33" s="314"/>
      <c r="D33" s="314"/>
      <c r="E33" s="314" t="s">
        <v>453</v>
      </c>
      <c r="F33" s="310"/>
      <c r="G33" s="314"/>
      <c r="H33" s="314"/>
      <c r="I33" s="314"/>
      <c r="J33" s="310"/>
      <c r="K33" s="310"/>
      <c r="L33" s="310"/>
    </row>
    <row r="34" spans="1:12" ht="22.5" customHeight="1">
      <c r="A34" s="421" t="str">
        <f>E40</f>
        <v>( นายชัยเดช  อภิวัฒน์สกุล )</v>
      </c>
      <c r="B34" s="421"/>
      <c r="C34" s="315"/>
      <c r="D34" s="315"/>
      <c r="E34" s="423" t="str">
        <f>E39</f>
        <v>( นายสุรพงษ์  ศิลป์ท้าว )</v>
      </c>
      <c r="F34" s="422"/>
      <c r="G34" s="310"/>
      <c r="H34" s="315"/>
      <c r="I34" s="315"/>
      <c r="J34" s="311"/>
      <c r="K34" s="310"/>
      <c r="L34" s="310"/>
    </row>
    <row r="35" spans="1:12" ht="22.5" customHeight="1">
      <c r="A35" s="421" t="str">
        <f>G40</f>
        <v>รองนายก อบต.ป่ากลาง</v>
      </c>
      <c r="B35" s="421"/>
      <c r="C35" s="315"/>
      <c r="D35" s="315"/>
      <c r="E35" s="423" t="str">
        <f>G39</f>
        <v>รองนายก อบต.ป่ากลาง</v>
      </c>
      <c r="F35" s="422"/>
      <c r="G35" s="310"/>
      <c r="H35" s="315"/>
      <c r="I35" s="315"/>
      <c r="J35" s="311"/>
      <c r="K35" s="310"/>
      <c r="L35" s="310"/>
    </row>
    <row r="36" spans="1:12" ht="2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</row>
    <row r="37" spans="1:12" ht="2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</row>
    <row r="38" spans="1:12" ht="21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</row>
    <row r="39" spans="1:12" ht="21">
      <c r="A39" s="234"/>
      <c r="B39" s="234"/>
      <c r="C39" s="234"/>
      <c r="D39" s="234"/>
      <c r="E39" s="316" t="s">
        <v>455</v>
      </c>
      <c r="F39" s="234"/>
      <c r="G39" s="316" t="s">
        <v>420</v>
      </c>
      <c r="H39" s="234"/>
      <c r="I39" s="234"/>
      <c r="J39" s="234"/>
      <c r="K39" s="234"/>
      <c r="L39" s="234"/>
    </row>
    <row r="40" spans="1:12" ht="21">
      <c r="A40" s="234"/>
      <c r="B40" s="234"/>
      <c r="C40" s="234"/>
      <c r="D40" s="234"/>
      <c r="E40" s="316" t="s">
        <v>419</v>
      </c>
      <c r="F40" s="234"/>
      <c r="G40" s="316" t="s">
        <v>420</v>
      </c>
      <c r="H40" s="234"/>
      <c r="I40" s="234"/>
      <c r="J40" s="234"/>
      <c r="K40" s="234"/>
      <c r="L40" s="234"/>
    </row>
    <row r="41" spans="1:12" ht="21">
      <c r="A41" s="234"/>
      <c r="B41" s="234"/>
      <c r="C41" s="234"/>
      <c r="D41" s="234"/>
      <c r="E41" s="316" t="s">
        <v>421</v>
      </c>
      <c r="F41" s="234"/>
      <c r="G41" s="316" t="s">
        <v>422</v>
      </c>
      <c r="H41" s="234"/>
      <c r="I41" s="234"/>
      <c r="J41" s="234"/>
      <c r="K41" s="234"/>
      <c r="L41" s="234"/>
    </row>
    <row r="42" spans="1:12" ht="21">
      <c r="A42" s="234"/>
      <c r="B42" s="234"/>
      <c r="C42" s="234"/>
      <c r="D42" s="234"/>
      <c r="E42" s="317" t="s">
        <v>423</v>
      </c>
      <c r="F42" s="234"/>
      <c r="G42" s="234" t="s">
        <v>424</v>
      </c>
      <c r="H42" s="234"/>
      <c r="I42" s="234"/>
      <c r="J42" s="234"/>
      <c r="K42" s="234"/>
      <c r="L42" s="234"/>
    </row>
    <row r="43" spans="1:12" ht="21">
      <c r="A43" s="234"/>
      <c r="B43" s="234"/>
      <c r="C43" s="234"/>
      <c r="D43" s="234"/>
      <c r="E43" s="234" t="s">
        <v>425</v>
      </c>
      <c r="F43" s="234"/>
      <c r="G43" s="234" t="s">
        <v>426</v>
      </c>
      <c r="H43" s="234"/>
      <c r="I43" s="234"/>
      <c r="J43" s="234"/>
      <c r="K43" s="234"/>
      <c r="L43" s="234"/>
    </row>
    <row r="44" spans="1:12" ht="21">
      <c r="A44" s="234"/>
      <c r="B44" s="234"/>
      <c r="C44" s="234"/>
      <c r="D44" s="234"/>
      <c r="E44" s="234" t="s">
        <v>427</v>
      </c>
      <c r="F44" s="234"/>
      <c r="G44" s="234" t="s">
        <v>428</v>
      </c>
      <c r="H44" s="234"/>
      <c r="I44" s="234"/>
      <c r="J44" s="234"/>
      <c r="K44" s="234"/>
      <c r="L44" s="234"/>
    </row>
    <row r="45" spans="1:12" ht="21">
      <c r="A45" s="234"/>
      <c r="B45" s="234"/>
      <c r="C45" s="234"/>
      <c r="D45" s="234"/>
      <c r="E45" s="234" t="s">
        <v>429</v>
      </c>
      <c r="F45" s="234"/>
      <c r="G45" s="234" t="s">
        <v>430</v>
      </c>
      <c r="H45" s="234"/>
      <c r="I45" s="234"/>
      <c r="J45" s="234"/>
      <c r="K45" s="234"/>
      <c r="L45" s="234"/>
    </row>
    <row r="46" spans="1:12" ht="21">
      <c r="A46" s="234"/>
      <c r="B46" s="234"/>
      <c r="C46" s="234"/>
      <c r="D46" s="234"/>
      <c r="E46" s="234" t="s">
        <v>431</v>
      </c>
      <c r="F46" s="234"/>
      <c r="G46" s="234" t="s">
        <v>432</v>
      </c>
      <c r="H46" s="234"/>
      <c r="I46" s="234"/>
      <c r="J46" s="234"/>
      <c r="K46" s="234"/>
      <c r="L46" s="234"/>
    </row>
    <row r="47" spans="1:12" ht="21">
      <c r="A47" s="234"/>
      <c r="B47" s="234"/>
      <c r="C47" s="234"/>
      <c r="D47" s="234"/>
      <c r="E47" s="234" t="s">
        <v>433</v>
      </c>
      <c r="F47" s="234"/>
      <c r="G47" s="234" t="s">
        <v>434</v>
      </c>
      <c r="H47" s="234"/>
      <c r="I47" s="234"/>
      <c r="J47" s="234"/>
      <c r="K47" s="234"/>
      <c r="L47" s="234"/>
    </row>
    <row r="48" spans="1:12" ht="21">
      <c r="A48" s="234"/>
      <c r="B48" s="234"/>
      <c r="C48" s="234"/>
      <c r="D48" s="234"/>
      <c r="E48" s="234" t="s">
        <v>435</v>
      </c>
      <c r="F48" s="234"/>
      <c r="G48" s="234" t="s">
        <v>436</v>
      </c>
      <c r="H48" s="234"/>
      <c r="I48" s="234"/>
      <c r="J48" s="234"/>
      <c r="K48" s="234"/>
      <c r="L48" s="234"/>
    </row>
    <row r="49" spans="1:12" ht="21">
      <c r="A49" s="234"/>
      <c r="B49" s="234"/>
      <c r="C49" s="234"/>
      <c r="D49" s="234"/>
      <c r="E49" s="234" t="s">
        <v>437</v>
      </c>
      <c r="F49" s="234"/>
      <c r="G49" s="234" t="s">
        <v>438</v>
      </c>
      <c r="H49" s="234"/>
      <c r="I49" s="234"/>
      <c r="J49" s="234"/>
      <c r="K49" s="234"/>
      <c r="L49" s="234"/>
    </row>
    <row r="50" spans="1:12" ht="21">
      <c r="A50" s="234"/>
      <c r="B50" s="234"/>
      <c r="C50" s="234"/>
      <c r="D50" s="234"/>
      <c r="E50" s="234" t="s">
        <v>439</v>
      </c>
      <c r="F50" s="234"/>
      <c r="G50" s="234" t="s">
        <v>440</v>
      </c>
      <c r="H50" s="234"/>
      <c r="I50" s="234"/>
      <c r="J50" s="234"/>
      <c r="K50" s="234"/>
      <c r="L50" s="234"/>
    </row>
    <row r="51" spans="1:12" ht="21">
      <c r="A51" s="234"/>
      <c r="B51" s="234"/>
      <c r="C51" s="234"/>
      <c r="D51" s="234"/>
      <c r="E51" s="234" t="s">
        <v>441</v>
      </c>
      <c r="F51" s="234"/>
      <c r="G51" s="234" t="s">
        <v>442</v>
      </c>
      <c r="H51" s="234"/>
      <c r="I51" s="234"/>
      <c r="J51" s="234"/>
      <c r="K51" s="234"/>
      <c r="L51" s="234"/>
    </row>
    <row r="52" spans="1:12" ht="21">
      <c r="A52" s="234"/>
      <c r="B52" s="234"/>
      <c r="C52" s="234"/>
      <c r="D52" s="234"/>
      <c r="E52" s="234" t="s">
        <v>443</v>
      </c>
      <c r="F52" s="234"/>
      <c r="G52" s="234" t="s">
        <v>444</v>
      </c>
      <c r="H52" s="234"/>
      <c r="I52" s="234"/>
      <c r="J52" s="234"/>
      <c r="K52" s="234"/>
      <c r="L52" s="234"/>
    </row>
    <row r="53" spans="1:12" ht="21">
      <c r="A53" s="234"/>
      <c r="B53" s="234"/>
      <c r="C53" s="234"/>
      <c r="D53" s="234"/>
      <c r="E53" s="317" t="s">
        <v>452</v>
      </c>
      <c r="F53" s="234"/>
      <c r="G53" s="234" t="s">
        <v>111</v>
      </c>
      <c r="H53" s="234"/>
      <c r="I53" s="234"/>
      <c r="J53" s="234"/>
      <c r="K53" s="234"/>
      <c r="L53" s="234"/>
    </row>
    <row r="54" spans="1:12" ht="21">
      <c r="A54" s="234"/>
      <c r="B54" s="234"/>
      <c r="C54" s="234"/>
      <c r="D54" s="234"/>
      <c r="E54" s="234" t="s">
        <v>445</v>
      </c>
      <c r="F54" s="234"/>
      <c r="G54" s="234" t="s">
        <v>446</v>
      </c>
      <c r="H54" s="234"/>
      <c r="I54" s="234"/>
      <c r="J54" s="234"/>
      <c r="K54" s="234"/>
      <c r="L54" s="234"/>
    </row>
    <row r="55" spans="1:12" ht="21">
      <c r="A55" s="234"/>
      <c r="B55" s="234"/>
      <c r="C55" s="234"/>
      <c r="D55" s="234"/>
      <c r="E55" s="234" t="s">
        <v>447</v>
      </c>
      <c r="F55" s="234"/>
      <c r="G55" s="234" t="s">
        <v>448</v>
      </c>
      <c r="H55" s="234"/>
      <c r="I55" s="234"/>
      <c r="J55" s="234"/>
      <c r="K55" s="234"/>
      <c r="L55" s="234"/>
    </row>
    <row r="56" spans="1:12" ht="21">
      <c r="A56" s="234"/>
      <c r="B56" s="234"/>
      <c r="C56" s="234"/>
      <c r="D56" s="234"/>
      <c r="E56" s="234" t="s">
        <v>449</v>
      </c>
      <c r="F56" s="234"/>
      <c r="G56" s="316" t="s">
        <v>450</v>
      </c>
      <c r="H56" s="234"/>
      <c r="I56" s="234"/>
      <c r="J56" s="234"/>
      <c r="K56" s="234"/>
      <c r="L56" s="234"/>
    </row>
    <row r="57" spans="1:12" ht="21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</row>
    <row r="58" spans="1:12" ht="21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</row>
    <row r="59" spans="1:12" ht="21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</row>
  </sheetData>
  <sheetProtection/>
  <mergeCells count="39">
    <mergeCell ref="A6:H6"/>
    <mergeCell ref="A1:G1"/>
    <mergeCell ref="A2:H2"/>
    <mergeCell ref="A3:H3"/>
    <mergeCell ref="A4:H4"/>
    <mergeCell ref="A5:H5"/>
    <mergeCell ref="A8:A9"/>
    <mergeCell ref="B8:C9"/>
    <mergeCell ref="G8:H9"/>
    <mergeCell ref="B10:C10"/>
    <mergeCell ref="G10:H10"/>
    <mergeCell ref="E8:E9"/>
    <mergeCell ref="B15:C15"/>
    <mergeCell ref="B16:C16"/>
    <mergeCell ref="A17:E17"/>
    <mergeCell ref="G17:H17"/>
    <mergeCell ref="B11:C11"/>
    <mergeCell ref="G11:H11"/>
    <mergeCell ref="B12:C12"/>
    <mergeCell ref="G12:H12"/>
    <mergeCell ref="B13:C13"/>
    <mergeCell ref="G13:H13"/>
    <mergeCell ref="C26:D26"/>
    <mergeCell ref="C27:D27"/>
    <mergeCell ref="A30:B30"/>
    <mergeCell ref="A7:H7"/>
    <mergeCell ref="A18:E18"/>
    <mergeCell ref="G18:H18"/>
    <mergeCell ref="B19:F19"/>
    <mergeCell ref="C20:H20"/>
    <mergeCell ref="B14:C14"/>
    <mergeCell ref="G14:H14"/>
    <mergeCell ref="A31:B31"/>
    <mergeCell ref="E30:F30"/>
    <mergeCell ref="E31:F31"/>
    <mergeCell ref="A34:B34"/>
    <mergeCell ref="A35:B35"/>
    <mergeCell ref="E34:F34"/>
    <mergeCell ref="E35:F35"/>
  </mergeCells>
  <printOptions/>
  <pageMargins left="0.5905511811023623" right="0.1968503937007874" top="0.7874015748031497" bottom="0.3937007874015748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showGridLines="0" view="pageBreakPreview" zoomScale="110" zoomScaleNormal="75" zoomScaleSheetLayoutView="110" zoomScalePageLayoutView="0" workbookViewId="0" topLeftCell="A1">
      <pane xSplit="9" ySplit="8" topLeftCell="L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7" sqref="A7:A8"/>
    </sheetView>
  </sheetViews>
  <sheetFormatPr defaultColWidth="9.140625" defaultRowHeight="21.75"/>
  <cols>
    <col min="1" max="1" width="5.7109375" style="100" customWidth="1"/>
    <col min="2" max="2" width="54.140625" style="100" customWidth="1"/>
    <col min="3" max="3" width="10.00390625" style="121" customWidth="1"/>
    <col min="4" max="4" width="9.7109375" style="100" customWidth="1"/>
    <col min="5" max="5" width="10.7109375" style="122" customWidth="1"/>
    <col min="6" max="6" width="13.421875" style="122" customWidth="1"/>
    <col min="7" max="7" width="11.421875" style="122" customWidth="1"/>
    <col min="8" max="8" width="15.28125" style="122" customWidth="1"/>
    <col min="9" max="9" width="18.57421875" style="122" customWidth="1"/>
    <col min="10" max="10" width="17.140625" style="100" customWidth="1"/>
    <col min="11" max="11" width="4.421875" style="100" customWidth="1"/>
    <col min="12" max="12" width="17.00390625" style="100" customWidth="1"/>
    <col min="13" max="16384" width="9.140625" style="100" customWidth="1"/>
  </cols>
  <sheetData>
    <row r="1" spans="1:10" ht="19.5">
      <c r="A1" s="427" t="s">
        <v>266</v>
      </c>
      <c r="B1" s="428"/>
      <c r="C1" s="428"/>
      <c r="D1" s="428"/>
      <c r="E1" s="428"/>
      <c r="F1" s="428"/>
      <c r="G1" s="428"/>
      <c r="H1" s="428"/>
      <c r="I1" s="428"/>
      <c r="J1" s="429"/>
    </row>
    <row r="2" spans="1:10" ht="19.5">
      <c r="A2" s="430" t="s">
        <v>321</v>
      </c>
      <c r="B2" s="351"/>
      <c r="C2" s="351"/>
      <c r="D2" s="351"/>
      <c r="E2" s="351"/>
      <c r="F2" s="351"/>
      <c r="G2" s="351"/>
      <c r="H2" s="351"/>
      <c r="I2" s="351"/>
      <c r="J2" s="431"/>
    </row>
    <row r="3" spans="1:10" ht="19.5">
      <c r="A3" s="432" t="s">
        <v>337</v>
      </c>
      <c r="B3" s="433"/>
      <c r="C3" s="433"/>
      <c r="D3" s="433"/>
      <c r="E3" s="433"/>
      <c r="F3" s="433"/>
      <c r="G3" s="433"/>
      <c r="H3" s="433"/>
      <c r="I3" s="433"/>
      <c r="J3" s="434"/>
    </row>
    <row r="4" spans="1:10" ht="19.5">
      <c r="A4" s="430" t="s">
        <v>338</v>
      </c>
      <c r="B4" s="351"/>
      <c r="C4" s="351"/>
      <c r="D4" s="351"/>
      <c r="E4" s="351"/>
      <c r="F4" s="351"/>
      <c r="G4" s="351"/>
      <c r="H4" s="351"/>
      <c r="I4" s="351"/>
      <c r="J4" s="431"/>
    </row>
    <row r="5" spans="1:10" ht="19.5">
      <c r="A5" s="430" t="s">
        <v>336</v>
      </c>
      <c r="B5" s="351"/>
      <c r="C5" s="351"/>
      <c r="D5" s="351"/>
      <c r="E5" s="351"/>
      <c r="F5" s="351"/>
      <c r="G5" s="351"/>
      <c r="H5" s="351"/>
      <c r="I5" s="351"/>
      <c r="J5" s="431"/>
    </row>
    <row r="6" spans="1:10" ht="22.5" customHeight="1" thickBot="1">
      <c r="A6" s="217" t="s">
        <v>475</v>
      </c>
      <c r="B6" s="216"/>
      <c r="C6" s="216"/>
      <c r="D6" s="216"/>
      <c r="E6" s="216"/>
      <c r="F6" s="216"/>
      <c r="G6" s="229" t="s">
        <v>474</v>
      </c>
      <c r="H6" s="229"/>
      <c r="I6" s="229"/>
      <c r="J6" s="230"/>
    </row>
    <row r="7" spans="1:10" ht="22.5" customHeight="1" thickTop="1">
      <c r="A7" s="439" t="s">
        <v>140</v>
      </c>
      <c r="B7" s="338" t="s">
        <v>0</v>
      </c>
      <c r="C7" s="342" t="s">
        <v>1</v>
      </c>
      <c r="D7" s="338" t="s">
        <v>2</v>
      </c>
      <c r="E7" s="435" t="s">
        <v>58</v>
      </c>
      <c r="F7" s="436"/>
      <c r="G7" s="435" t="s">
        <v>59</v>
      </c>
      <c r="H7" s="436"/>
      <c r="I7" s="105" t="s">
        <v>286</v>
      </c>
      <c r="J7" s="437" t="s">
        <v>4</v>
      </c>
    </row>
    <row r="8" spans="1:10" ht="22.5" customHeight="1" thickBot="1">
      <c r="A8" s="440"/>
      <c r="B8" s="339"/>
      <c r="C8" s="343"/>
      <c r="D8" s="339"/>
      <c r="E8" s="214" t="s">
        <v>318</v>
      </c>
      <c r="F8" s="214" t="s">
        <v>25</v>
      </c>
      <c r="G8" s="214" t="s">
        <v>318</v>
      </c>
      <c r="H8" s="214" t="s">
        <v>317</v>
      </c>
      <c r="I8" s="106" t="s">
        <v>21</v>
      </c>
      <c r="J8" s="438"/>
    </row>
    <row r="9" spans="1:10" ht="22.5" customHeight="1" thickTop="1">
      <c r="A9" s="218"/>
      <c r="B9" s="129" t="s">
        <v>322</v>
      </c>
      <c r="C9" s="126"/>
      <c r="D9" s="129"/>
      <c r="E9" s="126"/>
      <c r="F9" s="126"/>
      <c r="G9" s="126"/>
      <c r="H9" s="126"/>
      <c r="I9" s="126"/>
      <c r="J9" s="219"/>
    </row>
    <row r="10" spans="1:10" ht="19.5">
      <c r="A10" s="232">
        <v>1</v>
      </c>
      <c r="B10" s="231" t="s">
        <v>323</v>
      </c>
      <c r="C10" s="25"/>
      <c r="D10" s="19"/>
      <c r="E10" s="25"/>
      <c r="F10" s="23"/>
      <c r="G10" s="25"/>
      <c r="H10" s="23"/>
      <c r="I10" s="23"/>
      <c r="J10" s="221"/>
    </row>
    <row r="11" spans="1:10" s="14" customFormat="1" ht="19.5">
      <c r="A11" s="220"/>
      <c r="B11" s="20" t="s">
        <v>324</v>
      </c>
      <c r="C11" s="25">
        <v>21.5</v>
      </c>
      <c r="D11" s="19" t="s">
        <v>11</v>
      </c>
      <c r="E11" s="25">
        <v>0</v>
      </c>
      <c r="F11" s="23">
        <f aca="true" t="shared" si="0" ref="F11:F24">ROUND((C11*E11),2)</f>
        <v>0</v>
      </c>
      <c r="G11" s="25">
        <v>20.09</v>
      </c>
      <c r="H11" s="23">
        <f aca="true" t="shared" si="1" ref="H11:H24">ROUND((C11*G11),2)</f>
        <v>431.94</v>
      </c>
      <c r="I11" s="23">
        <f aca="true" t="shared" si="2" ref="I11:I24">ROUND((F11+H11),2)</f>
        <v>431.94</v>
      </c>
      <c r="J11" s="221"/>
    </row>
    <row r="12" spans="1:10" s="14" customFormat="1" ht="19.5">
      <c r="A12" s="232">
        <v>2</v>
      </c>
      <c r="B12" s="231" t="s">
        <v>325</v>
      </c>
      <c r="C12" s="25"/>
      <c r="D12" s="19"/>
      <c r="E12" s="25"/>
      <c r="F12" s="23"/>
      <c r="G12" s="25"/>
      <c r="H12" s="23"/>
      <c r="I12" s="23"/>
      <c r="J12" s="222"/>
    </row>
    <row r="13" spans="1:10" s="14" customFormat="1" ht="19.5">
      <c r="A13" s="220"/>
      <c r="B13" s="20" t="s">
        <v>326</v>
      </c>
      <c r="C13" s="25">
        <v>2.2</v>
      </c>
      <c r="D13" s="19" t="s">
        <v>11</v>
      </c>
      <c r="E13" s="25">
        <f>ต่อหน่วย!I23</f>
        <v>669</v>
      </c>
      <c r="F13" s="23">
        <f t="shared" si="0"/>
        <v>1471.8</v>
      </c>
      <c r="G13" s="25">
        <v>0</v>
      </c>
      <c r="H13" s="23">
        <f t="shared" si="1"/>
        <v>0</v>
      </c>
      <c r="I13" s="23">
        <f t="shared" si="2"/>
        <v>1471.8</v>
      </c>
      <c r="J13" s="222"/>
    </row>
    <row r="14" spans="1:10" s="14" customFormat="1" ht="19.5">
      <c r="A14" s="232">
        <v>3</v>
      </c>
      <c r="B14" s="231" t="s">
        <v>327</v>
      </c>
      <c r="C14" s="25"/>
      <c r="D14" s="19"/>
      <c r="E14" s="25"/>
      <c r="F14" s="23"/>
      <c r="G14" s="25"/>
      <c r="H14" s="23"/>
      <c r="I14" s="23"/>
      <c r="J14" s="222"/>
    </row>
    <row r="15" spans="1:10" s="14" customFormat="1" ht="19.5">
      <c r="A15" s="220"/>
      <c r="B15" s="20" t="s">
        <v>288</v>
      </c>
      <c r="C15" s="25">
        <v>2.2</v>
      </c>
      <c r="D15" s="19" t="s">
        <v>11</v>
      </c>
      <c r="E15" s="25">
        <f>ต่อหน่วย!J14</f>
        <v>1646</v>
      </c>
      <c r="F15" s="23">
        <f t="shared" si="0"/>
        <v>3621.2</v>
      </c>
      <c r="G15" s="25">
        <v>398</v>
      </c>
      <c r="H15" s="23">
        <f t="shared" si="1"/>
        <v>875.6</v>
      </c>
      <c r="I15" s="23">
        <f t="shared" si="2"/>
        <v>4496.8</v>
      </c>
      <c r="J15" s="222"/>
    </row>
    <row r="16" spans="1:10" s="14" customFormat="1" ht="19.5">
      <c r="A16" s="220"/>
      <c r="B16" s="20" t="s">
        <v>328</v>
      </c>
      <c r="C16" s="25">
        <v>9.39</v>
      </c>
      <c r="D16" s="19" t="s">
        <v>11</v>
      </c>
      <c r="E16" s="25">
        <f>ราคาวัสดุ!K11</f>
        <v>2200</v>
      </c>
      <c r="F16" s="23">
        <f t="shared" si="0"/>
        <v>20658</v>
      </c>
      <c r="G16" s="25">
        <v>306</v>
      </c>
      <c r="H16" s="23">
        <f t="shared" si="1"/>
        <v>2873.34</v>
      </c>
      <c r="I16" s="23">
        <f t="shared" si="2"/>
        <v>23531.34</v>
      </c>
      <c r="J16" s="222"/>
    </row>
    <row r="17" spans="1:10" s="14" customFormat="1" ht="19.5">
      <c r="A17" s="232">
        <v>4</v>
      </c>
      <c r="B17" s="231" t="s">
        <v>329</v>
      </c>
      <c r="C17" s="25"/>
      <c r="D17" s="19"/>
      <c r="E17" s="25"/>
      <c r="F17" s="23"/>
      <c r="G17" s="25"/>
      <c r="H17" s="23"/>
      <c r="I17" s="23"/>
      <c r="J17" s="222"/>
    </row>
    <row r="18" spans="1:10" s="14" customFormat="1" ht="19.5">
      <c r="A18" s="220"/>
      <c r="B18" s="20" t="s">
        <v>468</v>
      </c>
      <c r="C18" s="25">
        <v>94</v>
      </c>
      <c r="D18" s="19" t="s">
        <v>12</v>
      </c>
      <c r="E18" s="25">
        <f>ต่อหน่วย!J36</f>
        <v>353</v>
      </c>
      <c r="F18" s="23">
        <f t="shared" si="0"/>
        <v>33182</v>
      </c>
      <c r="G18" s="25">
        <v>0</v>
      </c>
      <c r="H18" s="23">
        <f t="shared" si="1"/>
        <v>0</v>
      </c>
      <c r="I18" s="23">
        <f t="shared" si="2"/>
        <v>33182</v>
      </c>
      <c r="J18" s="222"/>
    </row>
    <row r="19" spans="1:10" s="14" customFormat="1" ht="19.5">
      <c r="A19" s="232">
        <v>5</v>
      </c>
      <c r="B19" s="231" t="s">
        <v>75</v>
      </c>
      <c r="C19" s="25"/>
      <c r="D19" s="19"/>
      <c r="E19" s="25"/>
      <c r="F19" s="23"/>
      <c r="G19" s="25"/>
      <c r="H19" s="23"/>
      <c r="I19" s="23"/>
      <c r="J19" s="221"/>
    </row>
    <row r="20" spans="1:10" s="14" customFormat="1" ht="19.5">
      <c r="A20" s="220"/>
      <c r="B20" s="20" t="s">
        <v>331</v>
      </c>
      <c r="C20" s="25">
        <v>1216.5</v>
      </c>
      <c r="D20" s="19" t="s">
        <v>26</v>
      </c>
      <c r="E20" s="25">
        <f>ราคาวัสดุ!K13/1000</f>
        <v>25.451400000000003</v>
      </c>
      <c r="F20" s="23">
        <f t="shared" si="0"/>
        <v>30961.63</v>
      </c>
      <c r="G20" s="25"/>
      <c r="H20" s="23">
        <f t="shared" si="1"/>
        <v>0</v>
      </c>
      <c r="I20" s="23">
        <f t="shared" si="2"/>
        <v>30961.63</v>
      </c>
      <c r="J20" s="222"/>
    </row>
    <row r="21" spans="1:10" s="14" customFormat="1" ht="19.5">
      <c r="A21" s="220"/>
      <c r="B21" s="20" t="s">
        <v>332</v>
      </c>
      <c r="C21" s="25">
        <f>(C20/1000)*30</f>
        <v>36.495</v>
      </c>
      <c r="D21" s="19" t="s">
        <v>26</v>
      </c>
      <c r="E21" s="25">
        <f>ราคาวัสดุ!K16</f>
        <v>67.29</v>
      </c>
      <c r="F21" s="23">
        <f t="shared" si="0"/>
        <v>2455.75</v>
      </c>
      <c r="G21" s="25">
        <v>0</v>
      </c>
      <c r="H21" s="23">
        <f t="shared" si="1"/>
        <v>0</v>
      </c>
      <c r="I21" s="23">
        <f t="shared" si="2"/>
        <v>2455.75</v>
      </c>
      <c r="J21" s="222"/>
    </row>
    <row r="22" spans="1:10" s="14" customFormat="1" ht="19.5">
      <c r="A22" s="232">
        <v>6</v>
      </c>
      <c r="B22" s="231" t="s">
        <v>333</v>
      </c>
      <c r="C22" s="25"/>
      <c r="D22" s="19"/>
      <c r="E22" s="25"/>
      <c r="F22" s="23"/>
      <c r="G22" s="25"/>
      <c r="H22" s="23"/>
      <c r="I22" s="23"/>
      <c r="J22" s="222"/>
    </row>
    <row r="23" spans="1:10" s="14" customFormat="1" ht="19.5">
      <c r="A23" s="232"/>
      <c r="B23" s="20" t="s">
        <v>334</v>
      </c>
      <c r="C23" s="25">
        <v>339.5</v>
      </c>
      <c r="D23" s="19" t="s">
        <v>26</v>
      </c>
      <c r="E23" s="25">
        <f>ราคาวัสดุ!K27/18.36</f>
        <v>26.688453159041394</v>
      </c>
      <c r="F23" s="23">
        <f>ROUND((C23*E23),2)</f>
        <v>9060.73</v>
      </c>
      <c r="G23" s="25">
        <v>10</v>
      </c>
      <c r="H23" s="23">
        <f>ROUND((C23*G23),2)</f>
        <v>3395</v>
      </c>
      <c r="I23" s="23">
        <f>ROUND((F23+H23),2)</f>
        <v>12455.73</v>
      </c>
      <c r="J23" s="222"/>
    </row>
    <row r="24" spans="1:10" s="14" customFormat="1" ht="19.5">
      <c r="A24" s="220"/>
      <c r="B24" s="20" t="s">
        <v>335</v>
      </c>
      <c r="C24" s="25">
        <v>2400</v>
      </c>
      <c r="D24" s="19" t="s">
        <v>26</v>
      </c>
      <c r="E24" s="25">
        <f>ราคาวัสดุ!K29/14</f>
        <v>30.714285714285715</v>
      </c>
      <c r="F24" s="23">
        <f t="shared" si="0"/>
        <v>73714.29</v>
      </c>
      <c r="G24" s="25">
        <v>10</v>
      </c>
      <c r="H24" s="23">
        <f t="shared" si="1"/>
        <v>24000</v>
      </c>
      <c r="I24" s="23">
        <f t="shared" si="2"/>
        <v>97714.29</v>
      </c>
      <c r="J24" s="222"/>
    </row>
    <row r="25" spans="1:10" s="14" customFormat="1" ht="19.5">
      <c r="A25" s="223">
        <v>7</v>
      </c>
      <c r="B25" s="123" t="s">
        <v>319</v>
      </c>
      <c r="C25" s="25"/>
      <c r="D25" s="19"/>
      <c r="E25" s="25"/>
      <c r="F25" s="23"/>
      <c r="G25" s="25"/>
      <c r="H25" s="23"/>
      <c r="I25" s="23"/>
      <c r="J25" s="222"/>
    </row>
    <row r="26" spans="1:10" s="14" customFormat="1" ht="19.5">
      <c r="A26" s="223"/>
      <c r="B26" s="123"/>
      <c r="C26" s="25"/>
      <c r="D26" s="19"/>
      <c r="E26" s="25"/>
      <c r="F26" s="23"/>
      <c r="G26" s="25"/>
      <c r="H26" s="23"/>
      <c r="I26" s="23"/>
      <c r="J26" s="222"/>
    </row>
    <row r="27" spans="1:12" s="14" customFormat="1" ht="19.5">
      <c r="A27" s="224"/>
      <c r="B27" s="208" t="s">
        <v>89</v>
      </c>
      <c r="C27" s="110"/>
      <c r="D27" s="108"/>
      <c r="E27" s="110"/>
      <c r="F27" s="111"/>
      <c r="G27" s="110"/>
      <c r="H27" s="111"/>
      <c r="I27" s="111">
        <f>SUM(F9:F24)</f>
        <v>175125.4</v>
      </c>
      <c r="J27" s="225"/>
      <c r="L27" s="66">
        <f>I27+I28</f>
        <v>206701.28</v>
      </c>
    </row>
    <row r="28" spans="1:10" ht="19.5">
      <c r="A28" s="224"/>
      <c r="B28" s="208" t="s">
        <v>90</v>
      </c>
      <c r="C28" s="209"/>
      <c r="D28" s="210"/>
      <c r="E28" s="209"/>
      <c r="F28" s="211"/>
      <c r="G28" s="209"/>
      <c r="H28" s="211"/>
      <c r="I28" s="211">
        <f>SUM(H9:H25)</f>
        <v>31575.88</v>
      </c>
      <c r="J28" s="225"/>
    </row>
    <row r="29" spans="1:10" ht="19.5">
      <c r="A29" s="224"/>
      <c r="B29" s="208" t="s">
        <v>320</v>
      </c>
      <c r="C29" s="110"/>
      <c r="D29" s="108"/>
      <c r="E29" s="110"/>
      <c r="F29" s="111"/>
      <c r="G29" s="110"/>
      <c r="H29" s="111"/>
      <c r="I29" s="211">
        <f>SUM(I9:I24)</f>
        <v>206701.28</v>
      </c>
      <c r="J29" s="225"/>
    </row>
  </sheetData>
  <sheetProtection/>
  <mergeCells count="12">
    <mergeCell ref="A7:A8"/>
    <mergeCell ref="B7:B8"/>
    <mergeCell ref="C7:C8"/>
    <mergeCell ref="D7:D8"/>
    <mergeCell ref="A1:J1"/>
    <mergeCell ref="A5:J5"/>
    <mergeCell ref="A4:J4"/>
    <mergeCell ref="A3:J3"/>
    <mergeCell ref="A2:J2"/>
    <mergeCell ref="E7:F7"/>
    <mergeCell ref="G7:H7"/>
    <mergeCell ref="J7:J8"/>
  </mergeCells>
  <printOptions/>
  <pageMargins left="0.1968503937007874" right="0" top="0.1968503937007874" bottom="0.1968503937007874" header="0.1968503937007874" footer="0"/>
  <pageSetup horizontalDpi="300" verticalDpi="300" orientation="landscape" paperSize="9" scale="93" r:id="rId1"/>
  <headerFooter alignWithMargins="0">
    <oddHeader>&amp;Rปร.4  แผ่นที่&amp;P/&amp;N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98" zoomScaleNormal="75" zoomScaleSheetLayoutView="98" zoomScalePageLayoutView="0" workbookViewId="0" topLeftCell="A26">
      <selection activeCell="A34" sqref="A34:I34"/>
    </sheetView>
  </sheetViews>
  <sheetFormatPr defaultColWidth="9.140625" defaultRowHeight="21.75"/>
  <cols>
    <col min="1" max="1" width="7.8515625" style="100" customWidth="1"/>
    <col min="2" max="2" width="44.28125" style="100" customWidth="1"/>
    <col min="3" max="3" width="9.28125" style="121" customWidth="1"/>
    <col min="4" max="4" width="8.28125" style="100" customWidth="1"/>
    <col min="5" max="5" width="12.140625" style="122" customWidth="1"/>
    <col min="6" max="6" width="12.57421875" style="122" customWidth="1"/>
    <col min="7" max="7" width="13.00390625" style="121" customWidth="1"/>
    <col min="8" max="8" width="12.421875" style="122" customWidth="1"/>
    <col min="9" max="9" width="16.140625" style="122" customWidth="1"/>
    <col min="10" max="10" width="21.140625" style="100" customWidth="1"/>
    <col min="11" max="11" width="4.421875" style="100" customWidth="1"/>
    <col min="12" max="12" width="8.7109375" style="100" customWidth="1"/>
    <col min="13" max="16384" width="9.140625" style="100" customWidth="1"/>
  </cols>
  <sheetData>
    <row r="1" spans="1:10" ht="19.5">
      <c r="A1" s="350" t="s">
        <v>266</v>
      </c>
      <c r="B1" s="351"/>
      <c r="C1" s="351"/>
      <c r="D1" s="351"/>
      <c r="E1" s="351"/>
      <c r="F1" s="351"/>
      <c r="G1" s="351"/>
      <c r="H1" s="351"/>
      <c r="I1" s="351"/>
      <c r="J1" s="418"/>
    </row>
    <row r="2" spans="1:10" ht="19.5">
      <c r="A2" s="348" t="s">
        <v>269</v>
      </c>
      <c r="B2" s="349"/>
      <c r="C2" s="349"/>
      <c r="D2" s="349"/>
      <c r="E2" s="349"/>
      <c r="F2" s="349"/>
      <c r="G2" s="349"/>
      <c r="H2" s="349"/>
      <c r="I2" s="349"/>
      <c r="J2" s="101" t="s">
        <v>55</v>
      </c>
    </row>
    <row r="3" spans="1:10" ht="19.5">
      <c r="A3" s="350" t="s">
        <v>303</v>
      </c>
      <c r="B3" s="351"/>
      <c r="C3" s="351"/>
      <c r="D3" s="351"/>
      <c r="E3" s="351"/>
      <c r="F3" s="351"/>
      <c r="G3" s="351"/>
      <c r="H3" s="351"/>
      <c r="I3" s="351"/>
      <c r="J3" s="199" t="s">
        <v>301</v>
      </c>
    </row>
    <row r="4" spans="1:10" ht="19.5">
      <c r="A4" s="350" t="s">
        <v>268</v>
      </c>
      <c r="B4" s="351"/>
      <c r="C4" s="351"/>
      <c r="D4" s="351"/>
      <c r="E4" s="351"/>
      <c r="F4" s="351"/>
      <c r="G4" s="351"/>
      <c r="H4" s="351"/>
      <c r="I4" s="351"/>
      <c r="J4" s="103"/>
    </row>
    <row r="5" spans="1:10" ht="19.5">
      <c r="A5" s="350" t="s">
        <v>305</v>
      </c>
      <c r="B5" s="351"/>
      <c r="C5" s="351"/>
      <c r="D5" s="351"/>
      <c r="E5" s="351"/>
      <c r="F5" s="351"/>
      <c r="G5" s="351"/>
      <c r="H5" s="351"/>
      <c r="I5" s="351"/>
      <c r="J5" s="103"/>
    </row>
    <row r="6" spans="1:10" ht="19.5">
      <c r="A6" s="350" t="s">
        <v>302</v>
      </c>
      <c r="B6" s="351"/>
      <c r="C6" s="351"/>
      <c r="D6" s="351"/>
      <c r="E6" s="351"/>
      <c r="F6" s="351"/>
      <c r="G6" s="351"/>
      <c r="H6" s="351"/>
      <c r="I6" s="351"/>
      <c r="J6" s="103"/>
    </row>
    <row r="7" spans="1:10" ht="20.25" thickBot="1">
      <c r="A7" s="340" t="s">
        <v>308</v>
      </c>
      <c r="B7" s="341"/>
      <c r="C7" s="341"/>
      <c r="D7" s="341"/>
      <c r="E7" s="341"/>
      <c r="F7" s="341"/>
      <c r="G7" s="341"/>
      <c r="H7" s="341"/>
      <c r="I7" s="341"/>
      <c r="J7" s="104" t="s">
        <v>304</v>
      </c>
    </row>
    <row r="8" spans="1:10" ht="22.5" customHeight="1" thickTop="1">
      <c r="A8" s="414" t="s">
        <v>5</v>
      </c>
      <c r="B8" s="414" t="s">
        <v>0</v>
      </c>
      <c r="C8" s="415" t="s">
        <v>1</v>
      </c>
      <c r="D8" s="414" t="s">
        <v>2</v>
      </c>
      <c r="E8" s="126" t="s">
        <v>89</v>
      </c>
      <c r="F8" s="126" t="s">
        <v>285</v>
      </c>
      <c r="G8" s="212" t="s">
        <v>63</v>
      </c>
      <c r="H8" s="419" t="s">
        <v>284</v>
      </c>
      <c r="I8" s="126" t="s">
        <v>286</v>
      </c>
      <c r="J8" s="338" t="s">
        <v>4</v>
      </c>
    </row>
    <row r="9" spans="1:10" ht="22.5" customHeight="1" thickBot="1">
      <c r="A9" s="339"/>
      <c r="B9" s="339"/>
      <c r="C9" s="343"/>
      <c r="D9" s="339"/>
      <c r="E9" s="106" t="s">
        <v>21</v>
      </c>
      <c r="F9" s="106" t="s">
        <v>21</v>
      </c>
      <c r="G9" s="205" t="s">
        <v>21</v>
      </c>
      <c r="H9" s="420"/>
      <c r="I9" s="106" t="s">
        <v>21</v>
      </c>
      <c r="J9" s="339"/>
    </row>
    <row r="10" spans="1:10" ht="20.25" thickTop="1">
      <c r="A10" s="124">
        <v>1</v>
      </c>
      <c r="B10" s="129" t="s">
        <v>279</v>
      </c>
      <c r="C10" s="126"/>
      <c r="D10" s="129"/>
      <c r="E10" s="126"/>
      <c r="F10" s="126"/>
      <c r="G10" s="112"/>
      <c r="H10" s="126"/>
      <c r="I10" s="126"/>
      <c r="J10" s="124"/>
    </row>
    <row r="11" spans="1:10" s="14" customFormat="1" ht="19.5">
      <c r="A11" s="19"/>
      <c r="B11" s="20" t="s">
        <v>271</v>
      </c>
      <c r="C11" s="25">
        <v>36</v>
      </c>
      <c r="D11" s="19" t="s">
        <v>277</v>
      </c>
      <c r="E11" s="25">
        <v>1000</v>
      </c>
      <c r="F11" s="23">
        <v>0</v>
      </c>
      <c r="G11" s="25">
        <f>ROUND(((E11*C11)+(C11*F11)),2)</f>
        <v>36000</v>
      </c>
      <c r="H11" s="206">
        <v>1.3592</v>
      </c>
      <c r="I11" s="23">
        <f>ROUND((G11*H11),2)</f>
        <v>48931.2</v>
      </c>
      <c r="J11" s="19"/>
    </row>
    <row r="12" spans="1:10" s="14" customFormat="1" ht="19.5">
      <c r="A12" s="19"/>
      <c r="B12" s="20" t="s">
        <v>272</v>
      </c>
      <c r="C12" s="25">
        <v>33</v>
      </c>
      <c r="D12" s="19" t="s">
        <v>200</v>
      </c>
      <c r="E12" s="25">
        <v>2300</v>
      </c>
      <c r="F12" s="23">
        <v>0</v>
      </c>
      <c r="G12" s="25">
        <f aca="true" t="shared" si="0" ref="G12:G44">ROUND(((E12*C12)+(C12*F12)),2)</f>
        <v>75900</v>
      </c>
      <c r="H12" s="206">
        <v>1.3592</v>
      </c>
      <c r="I12" s="23">
        <f aca="true" t="shared" si="1" ref="I12:I21">ROUND((G12*H12),2)</f>
        <v>103163.28</v>
      </c>
      <c r="J12" s="19"/>
    </row>
    <row r="13" spans="1:10" s="14" customFormat="1" ht="19.5">
      <c r="A13" s="19"/>
      <c r="B13" s="20" t="s">
        <v>273</v>
      </c>
      <c r="C13" s="25">
        <v>2</v>
      </c>
      <c r="D13" s="19" t="s">
        <v>200</v>
      </c>
      <c r="E13" s="25">
        <v>1200</v>
      </c>
      <c r="F13" s="23">
        <v>0</v>
      </c>
      <c r="G13" s="25">
        <f t="shared" si="0"/>
        <v>2400</v>
      </c>
      <c r="H13" s="206">
        <v>1.3592</v>
      </c>
      <c r="I13" s="23">
        <f t="shared" si="1"/>
        <v>3262.08</v>
      </c>
      <c r="J13" s="64"/>
    </row>
    <row r="14" spans="1:10" s="14" customFormat="1" ht="19.5">
      <c r="A14" s="19"/>
      <c r="B14" s="20" t="s">
        <v>274</v>
      </c>
      <c r="C14" s="25">
        <v>2</v>
      </c>
      <c r="D14" s="19" t="s">
        <v>200</v>
      </c>
      <c r="E14" s="25">
        <v>900</v>
      </c>
      <c r="F14" s="23">
        <v>0</v>
      </c>
      <c r="G14" s="25">
        <f t="shared" si="0"/>
        <v>1800</v>
      </c>
      <c r="H14" s="206">
        <v>1.3592</v>
      </c>
      <c r="I14" s="23">
        <f t="shared" si="1"/>
        <v>2446.56</v>
      </c>
      <c r="J14" s="64"/>
    </row>
    <row r="15" spans="1:10" s="14" customFormat="1" ht="19.5">
      <c r="A15" s="19"/>
      <c r="B15" s="20" t="s">
        <v>275</v>
      </c>
      <c r="C15" s="25">
        <v>288</v>
      </c>
      <c r="D15" s="19" t="s">
        <v>211</v>
      </c>
      <c r="E15" s="25">
        <v>30</v>
      </c>
      <c r="F15" s="23">
        <v>0</v>
      </c>
      <c r="G15" s="25">
        <f t="shared" si="0"/>
        <v>8640</v>
      </c>
      <c r="H15" s="206">
        <v>1.3592</v>
      </c>
      <c r="I15" s="23">
        <f t="shared" si="1"/>
        <v>11743.49</v>
      </c>
      <c r="J15" s="64"/>
    </row>
    <row r="16" spans="1:10" s="14" customFormat="1" ht="19.5">
      <c r="A16" s="19"/>
      <c r="B16" s="20" t="s">
        <v>276</v>
      </c>
      <c r="C16" s="25">
        <v>36</v>
      </c>
      <c r="D16" s="19" t="s">
        <v>211</v>
      </c>
      <c r="E16" s="25">
        <v>50</v>
      </c>
      <c r="F16" s="23">
        <v>0</v>
      </c>
      <c r="G16" s="25">
        <f t="shared" si="0"/>
        <v>1800</v>
      </c>
      <c r="H16" s="206">
        <v>1.3592</v>
      </c>
      <c r="I16" s="23">
        <f t="shared" si="1"/>
        <v>2446.56</v>
      </c>
      <c r="J16" s="64"/>
    </row>
    <row r="17" spans="1:10" s="14" customFormat="1" ht="19.5">
      <c r="A17" s="19"/>
      <c r="B17" s="20" t="s">
        <v>290</v>
      </c>
      <c r="C17" s="25">
        <v>15</v>
      </c>
      <c r="D17" s="19" t="s">
        <v>211</v>
      </c>
      <c r="E17" s="25">
        <v>170</v>
      </c>
      <c r="F17" s="23">
        <v>0</v>
      </c>
      <c r="G17" s="25">
        <f t="shared" si="0"/>
        <v>2550</v>
      </c>
      <c r="H17" s="206">
        <v>1.3592</v>
      </c>
      <c r="I17" s="23">
        <f t="shared" si="1"/>
        <v>3465.96</v>
      </c>
      <c r="J17" s="64"/>
    </row>
    <row r="18" spans="1:10" s="14" customFormat="1" ht="19.5">
      <c r="A18" s="19"/>
      <c r="B18" s="20" t="s">
        <v>281</v>
      </c>
      <c r="C18" s="25">
        <v>38</v>
      </c>
      <c r="D18" s="19" t="s">
        <v>282</v>
      </c>
      <c r="E18" s="25">
        <v>5</v>
      </c>
      <c r="F18" s="23">
        <v>0</v>
      </c>
      <c r="G18" s="25">
        <f t="shared" si="0"/>
        <v>190</v>
      </c>
      <c r="H18" s="206">
        <v>1.3592</v>
      </c>
      <c r="I18" s="23">
        <f t="shared" si="1"/>
        <v>258.25</v>
      </c>
      <c r="J18" s="64"/>
    </row>
    <row r="19" spans="1:10" s="14" customFormat="1" ht="19.5">
      <c r="A19" s="19"/>
      <c r="B19" s="20" t="s">
        <v>278</v>
      </c>
      <c r="C19" s="25">
        <v>132</v>
      </c>
      <c r="D19" s="19" t="s">
        <v>85</v>
      </c>
      <c r="E19" s="25"/>
      <c r="F19" s="23">
        <v>120</v>
      </c>
      <c r="G19" s="25">
        <f t="shared" si="0"/>
        <v>15840</v>
      </c>
      <c r="H19" s="206">
        <v>1.3592</v>
      </c>
      <c r="I19" s="23">
        <f t="shared" si="1"/>
        <v>21529.73</v>
      </c>
      <c r="J19" s="64"/>
    </row>
    <row r="20" spans="1:10" s="14" customFormat="1" ht="19.5">
      <c r="A20" s="19"/>
      <c r="B20" s="20" t="s">
        <v>288</v>
      </c>
      <c r="C20" s="25">
        <v>0.42</v>
      </c>
      <c r="D20" s="19" t="s">
        <v>11</v>
      </c>
      <c r="E20" s="25">
        <v>1550</v>
      </c>
      <c r="F20" s="23"/>
      <c r="G20" s="25">
        <f t="shared" si="0"/>
        <v>651</v>
      </c>
      <c r="H20" s="206">
        <v>1.3592</v>
      </c>
      <c r="I20" s="23">
        <f t="shared" si="1"/>
        <v>884.84</v>
      </c>
      <c r="J20" s="64"/>
    </row>
    <row r="21" spans="1:10" s="14" customFormat="1" ht="19.5">
      <c r="A21" s="19"/>
      <c r="B21" s="20" t="s">
        <v>289</v>
      </c>
      <c r="C21" s="25">
        <v>0.56</v>
      </c>
      <c r="D21" s="19" t="s">
        <v>11</v>
      </c>
      <c r="E21" s="25"/>
      <c r="F21" s="23">
        <v>99</v>
      </c>
      <c r="G21" s="25">
        <f t="shared" si="0"/>
        <v>55.44</v>
      </c>
      <c r="H21" s="206">
        <v>1.3592</v>
      </c>
      <c r="I21" s="23">
        <f t="shared" si="1"/>
        <v>75.35</v>
      </c>
      <c r="J21" s="64"/>
    </row>
    <row r="22" spans="1:10" ht="19.5">
      <c r="A22" s="207">
        <v>2</v>
      </c>
      <c r="B22" s="129" t="s">
        <v>270</v>
      </c>
      <c r="C22" s="125"/>
      <c r="D22" s="124"/>
      <c r="E22" s="126"/>
      <c r="F22" s="23"/>
      <c r="G22" s="25">
        <f t="shared" si="0"/>
        <v>0</v>
      </c>
      <c r="H22" s="206"/>
      <c r="I22" s="23">
        <f aca="true" t="shared" si="2" ref="I22:I43">ROUND((G22*H22),2)</f>
        <v>0</v>
      </c>
      <c r="J22" s="124"/>
    </row>
    <row r="23" spans="1:10" s="14" customFormat="1" ht="19.5">
      <c r="A23" s="19"/>
      <c r="B23" s="20" t="s">
        <v>271</v>
      </c>
      <c r="C23" s="25">
        <v>30</v>
      </c>
      <c r="D23" s="19" t="s">
        <v>277</v>
      </c>
      <c r="E23" s="25">
        <v>1000</v>
      </c>
      <c r="F23" s="23">
        <v>0</v>
      </c>
      <c r="G23" s="25">
        <f t="shared" si="0"/>
        <v>30000</v>
      </c>
      <c r="H23" s="206">
        <v>1.3592</v>
      </c>
      <c r="I23" s="23">
        <f t="shared" si="2"/>
        <v>40776</v>
      </c>
      <c r="J23" s="19"/>
    </row>
    <row r="24" spans="1:10" s="14" customFormat="1" ht="19.5">
      <c r="A24" s="19"/>
      <c r="B24" s="20" t="s">
        <v>272</v>
      </c>
      <c r="C24" s="25">
        <v>29</v>
      </c>
      <c r="D24" s="19" t="s">
        <v>200</v>
      </c>
      <c r="E24" s="25">
        <v>2300</v>
      </c>
      <c r="F24" s="23">
        <v>0</v>
      </c>
      <c r="G24" s="25">
        <f t="shared" si="0"/>
        <v>66700</v>
      </c>
      <c r="H24" s="206">
        <v>1.3592</v>
      </c>
      <c r="I24" s="23">
        <f t="shared" si="2"/>
        <v>90658.64</v>
      </c>
      <c r="J24" s="19"/>
    </row>
    <row r="25" spans="1:10" s="14" customFormat="1" ht="19.5">
      <c r="A25" s="19"/>
      <c r="B25" s="20" t="s">
        <v>273</v>
      </c>
      <c r="C25" s="25">
        <v>2</v>
      </c>
      <c r="D25" s="19" t="s">
        <v>200</v>
      </c>
      <c r="E25" s="25">
        <v>1200</v>
      </c>
      <c r="F25" s="23">
        <v>0</v>
      </c>
      <c r="G25" s="25">
        <f t="shared" si="0"/>
        <v>2400</v>
      </c>
      <c r="H25" s="206">
        <v>1.3592</v>
      </c>
      <c r="I25" s="23">
        <f t="shared" si="2"/>
        <v>3262.08</v>
      </c>
      <c r="J25" s="64"/>
    </row>
    <row r="26" spans="1:10" s="14" customFormat="1" ht="19.5">
      <c r="A26" s="19"/>
      <c r="B26" s="20" t="s">
        <v>274</v>
      </c>
      <c r="C26" s="25">
        <v>2</v>
      </c>
      <c r="D26" s="19" t="s">
        <v>200</v>
      </c>
      <c r="E26" s="25">
        <v>900</v>
      </c>
      <c r="F26" s="23">
        <v>0</v>
      </c>
      <c r="G26" s="25">
        <f t="shared" si="0"/>
        <v>1800</v>
      </c>
      <c r="H26" s="206">
        <v>1.3592</v>
      </c>
      <c r="I26" s="23">
        <f t="shared" si="2"/>
        <v>2446.56</v>
      </c>
      <c r="J26" s="64"/>
    </row>
    <row r="27" spans="1:10" s="14" customFormat="1" ht="19.5">
      <c r="A27" s="19"/>
      <c r="B27" s="20" t="s">
        <v>275</v>
      </c>
      <c r="C27" s="25">
        <v>240</v>
      </c>
      <c r="D27" s="19" t="s">
        <v>211</v>
      </c>
      <c r="E27" s="25">
        <v>30</v>
      </c>
      <c r="F27" s="23">
        <v>0</v>
      </c>
      <c r="G27" s="25">
        <f t="shared" si="0"/>
        <v>7200</v>
      </c>
      <c r="H27" s="206">
        <v>1.3592</v>
      </c>
      <c r="I27" s="23">
        <f t="shared" si="2"/>
        <v>9786.24</v>
      </c>
      <c r="J27" s="64"/>
    </row>
    <row r="28" spans="1:10" s="14" customFormat="1" ht="19.5">
      <c r="A28" s="19"/>
      <c r="B28" s="20" t="s">
        <v>276</v>
      </c>
      <c r="C28" s="25">
        <v>30</v>
      </c>
      <c r="D28" s="19" t="s">
        <v>211</v>
      </c>
      <c r="E28" s="25">
        <v>50</v>
      </c>
      <c r="F28" s="23">
        <v>0</v>
      </c>
      <c r="G28" s="25">
        <f t="shared" si="0"/>
        <v>1500</v>
      </c>
      <c r="H28" s="206">
        <v>1.3592</v>
      </c>
      <c r="I28" s="23">
        <f t="shared" si="2"/>
        <v>2038.8</v>
      </c>
      <c r="J28" s="64"/>
    </row>
    <row r="29" spans="1:10" s="14" customFormat="1" ht="19.5">
      <c r="A29" s="19"/>
      <c r="B29" s="20" t="s">
        <v>280</v>
      </c>
      <c r="C29" s="25">
        <v>15</v>
      </c>
      <c r="D29" s="19" t="s">
        <v>211</v>
      </c>
      <c r="E29" s="25">
        <v>170</v>
      </c>
      <c r="F29" s="23">
        <v>0</v>
      </c>
      <c r="G29" s="25">
        <f t="shared" si="0"/>
        <v>2550</v>
      </c>
      <c r="H29" s="206">
        <v>1.3592</v>
      </c>
      <c r="I29" s="23">
        <f t="shared" si="2"/>
        <v>3465.96</v>
      </c>
      <c r="J29" s="64"/>
    </row>
    <row r="30" spans="1:10" ht="19.5">
      <c r="A30" s="350" t="s">
        <v>266</v>
      </c>
      <c r="B30" s="351"/>
      <c r="C30" s="351"/>
      <c r="D30" s="351"/>
      <c r="E30" s="351"/>
      <c r="F30" s="351"/>
      <c r="G30" s="351"/>
      <c r="H30" s="351"/>
      <c r="I30" s="351"/>
      <c r="J30" s="418"/>
    </row>
    <row r="31" spans="1:10" ht="19.5">
      <c r="A31" s="348" t="s">
        <v>269</v>
      </c>
      <c r="B31" s="349"/>
      <c r="C31" s="349"/>
      <c r="D31" s="349"/>
      <c r="E31" s="349"/>
      <c r="F31" s="349"/>
      <c r="G31" s="349"/>
      <c r="H31" s="349"/>
      <c r="I31" s="349"/>
      <c r="J31" s="101" t="s">
        <v>55</v>
      </c>
    </row>
    <row r="32" spans="1:10" ht="19.5">
      <c r="A32" s="350" t="s">
        <v>267</v>
      </c>
      <c r="B32" s="351"/>
      <c r="C32" s="351"/>
      <c r="D32" s="351"/>
      <c r="E32" s="351"/>
      <c r="F32" s="351"/>
      <c r="G32" s="351"/>
      <c r="H32" s="351"/>
      <c r="I32" s="351"/>
      <c r="J32" s="199" t="s">
        <v>300</v>
      </c>
    </row>
    <row r="33" spans="1:10" ht="19.5">
      <c r="A33" s="350" t="s">
        <v>268</v>
      </c>
      <c r="B33" s="351"/>
      <c r="C33" s="351"/>
      <c r="D33" s="351"/>
      <c r="E33" s="351"/>
      <c r="F33" s="351"/>
      <c r="G33" s="351"/>
      <c r="H33" s="351"/>
      <c r="I33" s="351"/>
      <c r="J33" s="103"/>
    </row>
    <row r="34" spans="1:10" ht="19.5">
      <c r="A34" s="350" t="s">
        <v>291</v>
      </c>
      <c r="B34" s="351"/>
      <c r="C34" s="351"/>
      <c r="D34" s="351"/>
      <c r="E34" s="351"/>
      <c r="F34" s="351"/>
      <c r="G34" s="351"/>
      <c r="H34" s="351"/>
      <c r="I34" s="351"/>
      <c r="J34" s="103"/>
    </row>
    <row r="35" spans="1:10" ht="19.5">
      <c r="A35" s="198" t="str">
        <f>A6</f>
        <v>ปริมาณงาน : ก่อสร้างราวกันตก จำนวน 2 จุด ความยาวรวม 248 เมตร </v>
      </c>
      <c r="B35" s="197"/>
      <c r="C35" s="197"/>
      <c r="D35" s="197"/>
      <c r="E35" s="197"/>
      <c r="F35" s="197"/>
      <c r="G35" s="197"/>
      <c r="H35" s="197"/>
      <c r="I35" s="197"/>
      <c r="J35" s="103"/>
    </row>
    <row r="36" spans="1:10" ht="20.25" thickBot="1">
      <c r="A36" s="340" t="s">
        <v>308</v>
      </c>
      <c r="B36" s="341"/>
      <c r="C36" s="341"/>
      <c r="D36" s="341"/>
      <c r="E36" s="341"/>
      <c r="F36" s="341"/>
      <c r="G36" s="341"/>
      <c r="H36" s="341"/>
      <c r="I36" s="341"/>
      <c r="J36" s="104" t="s">
        <v>304</v>
      </c>
    </row>
    <row r="37" spans="1:10" ht="22.5" customHeight="1" thickTop="1">
      <c r="A37" s="414" t="s">
        <v>5</v>
      </c>
      <c r="B37" s="414" t="s">
        <v>0</v>
      </c>
      <c r="C37" s="415" t="s">
        <v>1</v>
      </c>
      <c r="D37" s="414" t="s">
        <v>2</v>
      </c>
      <c r="E37" s="126" t="s">
        <v>19</v>
      </c>
      <c r="F37" s="126" t="s">
        <v>316</v>
      </c>
      <c r="G37" s="212" t="s">
        <v>63</v>
      </c>
      <c r="H37" s="416" t="s">
        <v>64</v>
      </c>
      <c r="I37" s="126" t="s">
        <v>286</v>
      </c>
      <c r="J37" s="338" t="s">
        <v>4</v>
      </c>
    </row>
    <row r="38" spans="1:10" ht="22.5" customHeight="1" thickBot="1">
      <c r="A38" s="339"/>
      <c r="B38" s="339"/>
      <c r="C38" s="343"/>
      <c r="D38" s="339"/>
      <c r="E38" s="106" t="s">
        <v>21</v>
      </c>
      <c r="F38" s="106" t="s">
        <v>21</v>
      </c>
      <c r="G38" s="205" t="s">
        <v>21</v>
      </c>
      <c r="H38" s="417"/>
      <c r="I38" s="106" t="s">
        <v>21</v>
      </c>
      <c r="J38" s="339"/>
    </row>
    <row r="39" spans="1:10" s="14" customFormat="1" ht="20.25" thickTop="1">
      <c r="A39" s="19"/>
      <c r="B39" s="20"/>
      <c r="C39" s="25"/>
      <c r="D39" s="19"/>
      <c r="E39" s="25"/>
      <c r="F39" s="23"/>
      <c r="G39" s="25"/>
      <c r="H39" s="206"/>
      <c r="I39" s="23"/>
      <c r="J39" s="64"/>
    </row>
    <row r="40" spans="1:10" s="14" customFormat="1" ht="19.5">
      <c r="A40" s="19"/>
      <c r="B40" s="20" t="s">
        <v>278</v>
      </c>
      <c r="C40" s="25">
        <v>116</v>
      </c>
      <c r="D40" s="19" t="s">
        <v>85</v>
      </c>
      <c r="E40" s="25"/>
      <c r="F40" s="23">
        <v>120</v>
      </c>
      <c r="G40" s="25">
        <f t="shared" si="0"/>
        <v>13920</v>
      </c>
      <c r="H40" s="206">
        <v>1.3592</v>
      </c>
      <c r="I40" s="23">
        <f t="shared" si="2"/>
        <v>18920.06</v>
      </c>
      <c r="J40" s="64"/>
    </row>
    <row r="41" spans="1:10" s="14" customFormat="1" ht="19.5">
      <c r="A41" s="19"/>
      <c r="B41" s="20" t="s">
        <v>281</v>
      </c>
      <c r="C41" s="25">
        <v>32</v>
      </c>
      <c r="D41" s="19" t="s">
        <v>282</v>
      </c>
      <c r="E41" s="25">
        <v>5</v>
      </c>
      <c r="F41" s="23">
        <v>0</v>
      </c>
      <c r="G41" s="25">
        <f t="shared" si="0"/>
        <v>160</v>
      </c>
      <c r="H41" s="206">
        <v>1.3592</v>
      </c>
      <c r="I41" s="23">
        <f t="shared" si="2"/>
        <v>217.47</v>
      </c>
      <c r="J41" s="64"/>
    </row>
    <row r="42" spans="1:10" s="14" customFormat="1" ht="19.5">
      <c r="A42" s="19"/>
      <c r="B42" s="20" t="s">
        <v>288</v>
      </c>
      <c r="C42" s="25">
        <v>0.35</v>
      </c>
      <c r="D42" s="19" t="s">
        <v>11</v>
      </c>
      <c r="E42" s="25">
        <v>1550</v>
      </c>
      <c r="F42" s="23"/>
      <c r="G42" s="25">
        <f t="shared" si="0"/>
        <v>542.5</v>
      </c>
      <c r="H42" s="206">
        <v>1.3592</v>
      </c>
      <c r="I42" s="23">
        <f t="shared" si="2"/>
        <v>737.37</v>
      </c>
      <c r="J42" s="64"/>
    </row>
    <row r="43" spans="1:10" s="14" customFormat="1" ht="19.5">
      <c r="A43" s="19"/>
      <c r="B43" s="20" t="s">
        <v>289</v>
      </c>
      <c r="C43" s="25">
        <v>0.47</v>
      </c>
      <c r="D43" s="19" t="s">
        <v>11</v>
      </c>
      <c r="E43" s="25"/>
      <c r="F43" s="23">
        <v>99</v>
      </c>
      <c r="G43" s="25">
        <f t="shared" si="0"/>
        <v>46.53</v>
      </c>
      <c r="H43" s="206">
        <v>1.3592</v>
      </c>
      <c r="I43" s="23">
        <f t="shared" si="2"/>
        <v>63.24</v>
      </c>
      <c r="J43" s="64"/>
    </row>
    <row r="44" spans="1:10" s="14" customFormat="1" ht="19.5">
      <c r="A44" s="19"/>
      <c r="B44" s="20"/>
      <c r="C44" s="25"/>
      <c r="D44" s="19"/>
      <c r="E44" s="25"/>
      <c r="F44" s="23"/>
      <c r="G44" s="25">
        <f t="shared" si="0"/>
        <v>0</v>
      </c>
      <c r="H44" s="206"/>
      <c r="I44" s="23"/>
      <c r="J44" s="64"/>
    </row>
    <row r="45" spans="1:10" ht="19.5">
      <c r="A45" s="108"/>
      <c r="B45" s="115" t="s">
        <v>287</v>
      </c>
      <c r="C45" s="110"/>
      <c r="D45" s="108"/>
      <c r="E45" s="110"/>
      <c r="F45" s="111"/>
      <c r="G45" s="110">
        <f>SUM(G11:G44)</f>
        <v>272645.47000000003</v>
      </c>
      <c r="H45" s="206">
        <v>1.3592</v>
      </c>
      <c r="I45" s="111">
        <f>SUM(I10:I43)</f>
        <v>370579.7199999999</v>
      </c>
      <c r="J45" s="108"/>
    </row>
    <row r="46" spans="1:10" ht="19.5">
      <c r="A46" s="108"/>
      <c r="B46" s="208" t="s">
        <v>265</v>
      </c>
      <c r="C46" s="209"/>
      <c r="D46" s="210"/>
      <c r="E46" s="209"/>
      <c r="F46" s="211"/>
      <c r="G46" s="209"/>
      <c r="H46" s="211"/>
      <c r="I46" s="211">
        <v>370000</v>
      </c>
      <c r="J46" s="108"/>
    </row>
    <row r="47" spans="1:10" ht="19.5">
      <c r="A47" s="108"/>
      <c r="B47" s="116"/>
      <c r="C47" s="110"/>
      <c r="D47" s="108"/>
      <c r="E47" s="110"/>
      <c r="F47" s="111"/>
      <c r="G47" s="110"/>
      <c r="H47" s="111"/>
      <c r="I47" s="111"/>
      <c r="J47" s="108"/>
    </row>
    <row r="48" spans="1:10" ht="19.5">
      <c r="A48" s="108"/>
      <c r="B48" s="113"/>
      <c r="C48" s="110"/>
      <c r="D48" s="108"/>
      <c r="E48" s="110"/>
      <c r="F48" s="111"/>
      <c r="G48" s="110"/>
      <c r="H48" s="111"/>
      <c r="I48" s="111"/>
      <c r="J48" s="108"/>
    </row>
    <row r="49" spans="1:10" ht="19.5">
      <c r="A49" s="108"/>
      <c r="B49" s="113"/>
      <c r="C49" s="110"/>
      <c r="D49" s="108"/>
      <c r="E49" s="110"/>
      <c r="F49" s="111"/>
      <c r="G49" s="110"/>
      <c r="H49" s="111"/>
      <c r="I49" s="111"/>
      <c r="J49" s="108"/>
    </row>
  </sheetData>
  <sheetProtection/>
  <mergeCells count="25">
    <mergeCell ref="A37:A38"/>
    <mergeCell ref="B37:B38"/>
    <mergeCell ref="C37:C38"/>
    <mergeCell ref="D37:D38"/>
    <mergeCell ref="H37:H38"/>
    <mergeCell ref="J37:J38"/>
    <mergeCell ref="A30:J30"/>
    <mergeCell ref="A31:I31"/>
    <mergeCell ref="A32:I32"/>
    <mergeCell ref="A33:I33"/>
    <mergeCell ref="A34:I34"/>
    <mergeCell ref="A36:I36"/>
    <mergeCell ref="H8:H9"/>
    <mergeCell ref="J8:J9"/>
    <mergeCell ref="A8:A9"/>
    <mergeCell ref="B8:B9"/>
    <mergeCell ref="C8:C9"/>
    <mergeCell ref="D8:D9"/>
    <mergeCell ref="A1:J1"/>
    <mergeCell ref="A2:I2"/>
    <mergeCell ref="A3:I3"/>
    <mergeCell ref="A4:I4"/>
    <mergeCell ref="A5:I5"/>
    <mergeCell ref="A7:I7"/>
    <mergeCell ref="A6:I6"/>
  </mergeCells>
  <printOptions/>
  <pageMargins left="0.1968503937007874" right="0.15748031496062992" top="0.1968503937007874" bottom="0.1968503937007874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98" zoomScaleNormal="75" zoomScaleSheetLayoutView="98" zoomScalePageLayoutView="0" workbookViewId="0" topLeftCell="A37">
      <selection activeCell="B47" sqref="B47"/>
    </sheetView>
  </sheetViews>
  <sheetFormatPr defaultColWidth="9.140625" defaultRowHeight="21.75"/>
  <cols>
    <col min="1" max="1" width="6.00390625" style="100" customWidth="1"/>
    <col min="2" max="2" width="48.00390625" style="100" customWidth="1"/>
    <col min="3" max="3" width="9.28125" style="121" customWidth="1"/>
    <col min="4" max="4" width="8.28125" style="100" customWidth="1"/>
    <col min="5" max="6" width="12.140625" style="122" customWidth="1"/>
    <col min="7" max="7" width="11.421875" style="121" customWidth="1"/>
    <col min="8" max="8" width="11.28125" style="122" customWidth="1"/>
    <col min="9" max="9" width="13.421875" style="122" customWidth="1"/>
    <col min="10" max="10" width="18.28125" style="100" customWidth="1"/>
    <col min="11" max="11" width="4.140625" style="100" hidden="1" customWidth="1"/>
    <col min="12" max="12" width="8.7109375" style="100" customWidth="1"/>
    <col min="13" max="16384" width="9.140625" style="100" customWidth="1"/>
  </cols>
  <sheetData>
    <row r="1" spans="1:10" ht="19.5">
      <c r="A1" s="345" t="s">
        <v>53</v>
      </c>
      <c r="B1" s="346"/>
      <c r="C1" s="346"/>
      <c r="D1" s="346"/>
      <c r="E1" s="346"/>
      <c r="F1" s="346"/>
      <c r="G1" s="346"/>
      <c r="H1" s="346"/>
      <c r="I1" s="346"/>
      <c r="J1" s="347"/>
    </row>
    <row r="2" spans="1:10" ht="19.5">
      <c r="A2" s="348" t="s">
        <v>113</v>
      </c>
      <c r="B2" s="349"/>
      <c r="C2" s="349"/>
      <c r="D2" s="349"/>
      <c r="E2" s="349"/>
      <c r="F2" s="349"/>
      <c r="G2" s="349"/>
      <c r="H2" s="349"/>
      <c r="I2" s="349"/>
      <c r="J2" s="101" t="s">
        <v>55</v>
      </c>
    </row>
    <row r="3" spans="1:10" ht="19.5">
      <c r="A3" s="350" t="s">
        <v>114</v>
      </c>
      <c r="B3" s="351"/>
      <c r="C3" s="351"/>
      <c r="D3" s="351"/>
      <c r="E3" s="351"/>
      <c r="F3" s="351"/>
      <c r="G3" s="351"/>
      <c r="H3" s="351"/>
      <c r="I3" s="351"/>
      <c r="J3" s="101" t="s">
        <v>97</v>
      </c>
    </row>
    <row r="4" spans="1:10" ht="19.5">
      <c r="A4" s="350" t="s">
        <v>171</v>
      </c>
      <c r="B4" s="351"/>
      <c r="C4" s="351"/>
      <c r="D4" s="351"/>
      <c r="E4" s="351"/>
      <c r="F4" s="351"/>
      <c r="G4" s="351"/>
      <c r="H4" s="351"/>
      <c r="I4" s="351"/>
      <c r="J4" s="102"/>
    </row>
    <row r="5" spans="1:10" ht="19.5">
      <c r="A5" s="350" t="s">
        <v>115</v>
      </c>
      <c r="B5" s="351"/>
      <c r="C5" s="351"/>
      <c r="D5" s="351"/>
      <c r="E5" s="351"/>
      <c r="F5" s="351"/>
      <c r="G5" s="351"/>
      <c r="H5" s="351"/>
      <c r="I5" s="351"/>
      <c r="J5" s="103"/>
    </row>
    <row r="6" spans="1:10" ht="19.5">
      <c r="A6" s="350" t="s">
        <v>261</v>
      </c>
      <c r="B6" s="351"/>
      <c r="C6" s="351"/>
      <c r="D6" s="351"/>
      <c r="E6" s="351"/>
      <c r="F6" s="351"/>
      <c r="G6" s="351"/>
      <c r="H6" s="351"/>
      <c r="I6" s="351"/>
      <c r="J6" s="103"/>
    </row>
    <row r="7" spans="1:10" ht="20.25" thickBot="1">
      <c r="A7" s="340" t="s">
        <v>116</v>
      </c>
      <c r="B7" s="341"/>
      <c r="C7" s="341"/>
      <c r="D7" s="341"/>
      <c r="E7" s="341"/>
      <c r="F7" s="341"/>
      <c r="G7" s="341"/>
      <c r="H7" s="341"/>
      <c r="I7" s="341"/>
      <c r="J7" s="104" t="s">
        <v>57</v>
      </c>
    </row>
    <row r="8" spans="1:10" ht="20.25" thickTop="1">
      <c r="A8" s="338" t="s">
        <v>140</v>
      </c>
      <c r="B8" s="338" t="s">
        <v>0</v>
      </c>
      <c r="C8" s="342" t="s">
        <v>1</v>
      </c>
      <c r="D8" s="338" t="s">
        <v>2</v>
      </c>
      <c r="E8" s="344" t="s">
        <v>58</v>
      </c>
      <c r="F8" s="344"/>
      <c r="G8" s="344" t="s">
        <v>59</v>
      </c>
      <c r="H8" s="344"/>
      <c r="I8" s="105" t="s">
        <v>25</v>
      </c>
      <c r="J8" s="338" t="s">
        <v>4</v>
      </c>
    </row>
    <row r="9" spans="1:10" ht="20.25" thickBot="1">
      <c r="A9" s="339"/>
      <c r="B9" s="339"/>
      <c r="C9" s="343"/>
      <c r="D9" s="339"/>
      <c r="E9" s="106" t="s">
        <v>19</v>
      </c>
      <c r="F9" s="106" t="s">
        <v>3</v>
      </c>
      <c r="G9" s="107" t="s">
        <v>19</v>
      </c>
      <c r="H9" s="106" t="s">
        <v>3</v>
      </c>
      <c r="I9" s="106" t="s">
        <v>21</v>
      </c>
      <c r="J9" s="339"/>
    </row>
    <row r="10" spans="1:10" ht="20.25" thickTop="1">
      <c r="A10" s="124"/>
      <c r="B10" s="129" t="s">
        <v>165</v>
      </c>
      <c r="C10" s="125"/>
      <c r="D10" s="124"/>
      <c r="E10" s="126"/>
      <c r="F10" s="111">
        <f aca="true" t="shared" si="0" ref="F10:F18">ROUND((C10*E10),2)</f>
        <v>0</v>
      </c>
      <c r="G10" s="112"/>
      <c r="H10" s="126"/>
      <c r="I10" s="126"/>
      <c r="J10" s="124"/>
    </row>
    <row r="11" spans="1:10" ht="19.5">
      <c r="A11" s="108">
        <v>1</v>
      </c>
      <c r="B11" s="113" t="s">
        <v>164</v>
      </c>
      <c r="C11" s="110">
        <v>1438</v>
      </c>
      <c r="D11" s="108" t="s">
        <v>11</v>
      </c>
      <c r="E11" s="110"/>
      <c r="F11" s="111">
        <f t="shared" si="0"/>
        <v>0</v>
      </c>
      <c r="G11" s="110">
        <v>27.53</v>
      </c>
      <c r="H11" s="111">
        <f aca="true" t="shared" si="1" ref="H11:H17">ROUND((G11*C11),2)</f>
        <v>39588.14</v>
      </c>
      <c r="I11" s="111">
        <f>ROUND((F11+H11),2)</f>
        <v>39588.14</v>
      </c>
      <c r="J11" s="108"/>
    </row>
    <row r="12" spans="1:10" ht="19.5">
      <c r="A12" s="108"/>
      <c r="B12" s="130" t="s">
        <v>166</v>
      </c>
      <c r="C12" s="110"/>
      <c r="D12" s="108"/>
      <c r="E12" s="110"/>
      <c r="F12" s="111">
        <f t="shared" si="0"/>
        <v>0</v>
      </c>
      <c r="G12" s="110"/>
      <c r="H12" s="111">
        <f t="shared" si="1"/>
        <v>0</v>
      </c>
      <c r="I12" s="111"/>
      <c r="J12" s="114"/>
    </row>
    <row r="13" spans="1:10" ht="19.5">
      <c r="A13" s="108">
        <v>1</v>
      </c>
      <c r="B13" s="113" t="s">
        <v>120</v>
      </c>
      <c r="C13" s="110">
        <v>5</v>
      </c>
      <c r="D13" s="108" t="s">
        <v>124</v>
      </c>
      <c r="E13" s="110">
        <v>1023</v>
      </c>
      <c r="F13" s="111">
        <f t="shared" si="0"/>
        <v>5115</v>
      </c>
      <c r="G13" s="110">
        <v>0</v>
      </c>
      <c r="H13" s="111">
        <f t="shared" si="1"/>
        <v>0</v>
      </c>
      <c r="I13" s="111">
        <f aca="true" t="shared" si="2" ref="I13:I29">ROUND((F13+H13),2)</f>
        <v>5115</v>
      </c>
      <c r="J13" s="108"/>
    </row>
    <row r="14" spans="1:10" ht="19.5">
      <c r="A14" s="108">
        <v>2</v>
      </c>
      <c r="B14" s="113" t="s">
        <v>121</v>
      </c>
      <c r="C14" s="110">
        <v>6</v>
      </c>
      <c r="D14" s="108" t="s">
        <v>124</v>
      </c>
      <c r="E14" s="110">
        <v>1475</v>
      </c>
      <c r="F14" s="111">
        <f t="shared" si="0"/>
        <v>8850</v>
      </c>
      <c r="G14" s="110">
        <v>0</v>
      </c>
      <c r="H14" s="111">
        <f t="shared" si="1"/>
        <v>0</v>
      </c>
      <c r="I14" s="111">
        <f t="shared" si="2"/>
        <v>8850</v>
      </c>
      <c r="J14" s="108"/>
    </row>
    <row r="15" spans="1:10" ht="19.5">
      <c r="A15" s="108">
        <v>3</v>
      </c>
      <c r="B15" s="113" t="s">
        <v>122</v>
      </c>
      <c r="C15" s="110">
        <v>36</v>
      </c>
      <c r="D15" s="108" t="s">
        <v>12</v>
      </c>
      <c r="E15" s="110">
        <v>50</v>
      </c>
      <c r="F15" s="111">
        <f t="shared" si="0"/>
        <v>1800</v>
      </c>
      <c r="G15" s="110">
        <v>5</v>
      </c>
      <c r="H15" s="111">
        <f t="shared" si="1"/>
        <v>180</v>
      </c>
      <c r="I15" s="111">
        <f t="shared" si="2"/>
        <v>1980</v>
      </c>
      <c r="J15" s="108"/>
    </row>
    <row r="16" spans="1:10" ht="19.5">
      <c r="A16" s="108">
        <v>4</v>
      </c>
      <c r="B16" s="113" t="s">
        <v>126</v>
      </c>
      <c r="C16" s="110">
        <v>17</v>
      </c>
      <c r="D16" s="108" t="s">
        <v>11</v>
      </c>
      <c r="E16" s="110">
        <v>518</v>
      </c>
      <c r="F16" s="111">
        <f t="shared" si="0"/>
        <v>8806</v>
      </c>
      <c r="G16" s="110">
        <v>515</v>
      </c>
      <c r="H16" s="111">
        <f t="shared" si="1"/>
        <v>8755</v>
      </c>
      <c r="I16" s="111">
        <f t="shared" si="2"/>
        <v>17561</v>
      </c>
      <c r="J16" s="108"/>
    </row>
    <row r="17" spans="1:10" ht="19.5">
      <c r="A17" s="108">
        <v>5</v>
      </c>
      <c r="B17" s="113" t="s">
        <v>123</v>
      </c>
      <c r="C17" s="110">
        <v>0.9</v>
      </c>
      <c r="D17" s="108" t="s">
        <v>11</v>
      </c>
      <c r="E17" s="110">
        <v>518</v>
      </c>
      <c r="F17" s="111">
        <f t="shared" si="0"/>
        <v>466.2</v>
      </c>
      <c r="G17" s="110">
        <v>515</v>
      </c>
      <c r="H17" s="111">
        <f t="shared" si="1"/>
        <v>463.5</v>
      </c>
      <c r="I17" s="111">
        <f t="shared" si="2"/>
        <v>929.7</v>
      </c>
      <c r="J17" s="114"/>
    </row>
    <row r="18" spans="1:10" ht="19.5">
      <c r="A18" s="108"/>
      <c r="B18" s="130" t="s">
        <v>170</v>
      </c>
      <c r="C18" s="110"/>
      <c r="D18" s="108"/>
      <c r="E18" s="110"/>
      <c r="F18" s="111">
        <f t="shared" si="0"/>
        <v>0</v>
      </c>
      <c r="G18" s="110"/>
      <c r="H18" s="111">
        <f aca="true" t="shared" si="3" ref="H18:H24">ROUND((G18*C18),2)</f>
        <v>0</v>
      </c>
      <c r="I18" s="111">
        <f t="shared" si="2"/>
        <v>0</v>
      </c>
      <c r="J18" s="108"/>
    </row>
    <row r="19" spans="1:10" ht="19.5">
      <c r="A19" s="108">
        <v>1</v>
      </c>
      <c r="B19" s="113" t="s">
        <v>130</v>
      </c>
      <c r="C19" s="110">
        <v>19.14</v>
      </c>
      <c r="D19" s="108" t="s">
        <v>11</v>
      </c>
      <c r="E19" s="110"/>
      <c r="F19" s="111">
        <f aca="true" t="shared" si="4" ref="F19:F24">ROUND((C19*E19),2)</f>
        <v>0</v>
      </c>
      <c r="G19" s="110">
        <v>17.81</v>
      </c>
      <c r="H19" s="111">
        <f t="shared" si="3"/>
        <v>340.88</v>
      </c>
      <c r="I19" s="111">
        <f t="shared" si="2"/>
        <v>340.88</v>
      </c>
      <c r="J19" s="108"/>
    </row>
    <row r="20" spans="1:10" ht="19.5">
      <c r="A20" s="108">
        <v>2</v>
      </c>
      <c r="B20" s="113" t="s">
        <v>120</v>
      </c>
      <c r="C20" s="110">
        <v>8</v>
      </c>
      <c r="D20" s="108" t="s">
        <v>124</v>
      </c>
      <c r="E20" s="110">
        <v>1023</v>
      </c>
      <c r="F20" s="111">
        <f t="shared" si="4"/>
        <v>8184</v>
      </c>
      <c r="G20" s="110">
        <v>0</v>
      </c>
      <c r="H20" s="111">
        <f t="shared" si="3"/>
        <v>0</v>
      </c>
      <c r="I20" s="111">
        <f t="shared" si="2"/>
        <v>8184</v>
      </c>
      <c r="J20" s="108"/>
    </row>
    <row r="21" spans="1:10" ht="19.5">
      <c r="A21" s="108">
        <v>3</v>
      </c>
      <c r="B21" s="113" t="s">
        <v>121</v>
      </c>
      <c r="C21" s="110">
        <v>8</v>
      </c>
      <c r="D21" s="108" t="s">
        <v>124</v>
      </c>
      <c r="E21" s="110">
        <v>1475</v>
      </c>
      <c r="F21" s="111">
        <f t="shared" si="4"/>
        <v>11800</v>
      </c>
      <c r="G21" s="110">
        <v>0</v>
      </c>
      <c r="H21" s="111">
        <f t="shared" si="3"/>
        <v>0</v>
      </c>
      <c r="I21" s="111">
        <f t="shared" si="2"/>
        <v>11800</v>
      </c>
      <c r="J21" s="108"/>
    </row>
    <row r="22" spans="1:10" ht="19.5">
      <c r="A22" s="108">
        <v>4</v>
      </c>
      <c r="B22" s="113" t="s">
        <v>122</v>
      </c>
      <c r="C22" s="110">
        <v>48</v>
      </c>
      <c r="D22" s="108" t="s">
        <v>12</v>
      </c>
      <c r="E22" s="110">
        <v>50</v>
      </c>
      <c r="F22" s="111">
        <f t="shared" si="4"/>
        <v>2400</v>
      </c>
      <c r="G22" s="110">
        <v>5</v>
      </c>
      <c r="H22" s="111">
        <f t="shared" si="3"/>
        <v>240</v>
      </c>
      <c r="I22" s="111">
        <f t="shared" si="2"/>
        <v>2640</v>
      </c>
      <c r="J22" s="108"/>
    </row>
    <row r="23" spans="1:10" ht="19.5">
      <c r="A23" s="108">
        <v>5</v>
      </c>
      <c r="B23" s="113" t="s">
        <v>126</v>
      </c>
      <c r="C23" s="110">
        <v>24</v>
      </c>
      <c r="D23" s="108" t="s">
        <v>11</v>
      </c>
      <c r="E23" s="110">
        <v>518</v>
      </c>
      <c r="F23" s="111">
        <f t="shared" si="4"/>
        <v>12432</v>
      </c>
      <c r="G23" s="110">
        <v>515</v>
      </c>
      <c r="H23" s="111">
        <f t="shared" si="3"/>
        <v>12360</v>
      </c>
      <c r="I23" s="111">
        <f t="shared" si="2"/>
        <v>24792</v>
      </c>
      <c r="J23" s="108"/>
    </row>
    <row r="24" spans="1:10" ht="19.5">
      <c r="A24" s="108">
        <v>6</v>
      </c>
      <c r="B24" s="113" t="s">
        <v>123</v>
      </c>
      <c r="C24" s="110">
        <v>1.2</v>
      </c>
      <c r="D24" s="108" t="s">
        <v>11</v>
      </c>
      <c r="E24" s="110">
        <v>518</v>
      </c>
      <c r="F24" s="111">
        <f t="shared" si="4"/>
        <v>621.6</v>
      </c>
      <c r="G24" s="110">
        <v>515</v>
      </c>
      <c r="H24" s="111">
        <f t="shared" si="3"/>
        <v>618</v>
      </c>
      <c r="I24" s="111">
        <f t="shared" si="2"/>
        <v>1239.6</v>
      </c>
      <c r="J24" s="114"/>
    </row>
    <row r="25" spans="1:10" ht="19.5">
      <c r="A25" s="108"/>
      <c r="B25" s="130" t="s">
        <v>167</v>
      </c>
      <c r="C25" s="110"/>
      <c r="D25" s="108"/>
      <c r="E25" s="110"/>
      <c r="F25" s="111">
        <f>ROUND((C25*E25),2)</f>
        <v>0</v>
      </c>
      <c r="G25" s="110"/>
      <c r="H25" s="111">
        <f>ROUND((G25*C25),2)</f>
        <v>0</v>
      </c>
      <c r="I25" s="111">
        <f t="shared" si="2"/>
        <v>0</v>
      </c>
      <c r="J25" s="108"/>
    </row>
    <row r="26" spans="1:10" ht="19.5">
      <c r="A26" s="108">
        <v>1</v>
      </c>
      <c r="B26" s="113" t="s">
        <v>130</v>
      </c>
      <c r="C26" s="110">
        <v>28.6</v>
      </c>
      <c r="D26" s="108" t="s">
        <v>11</v>
      </c>
      <c r="E26" s="110"/>
      <c r="F26" s="111">
        <f>ROUND((C26*E26),2)</f>
        <v>0</v>
      </c>
      <c r="G26" s="110">
        <v>17.81</v>
      </c>
      <c r="H26" s="111">
        <f>ROUND((G26*C26),2)</f>
        <v>509.37</v>
      </c>
      <c r="I26" s="111">
        <f t="shared" si="2"/>
        <v>509.37</v>
      </c>
      <c r="J26" s="108"/>
    </row>
    <row r="27" spans="1:10" ht="19.5">
      <c r="A27" s="108">
        <v>2</v>
      </c>
      <c r="B27" s="113" t="s">
        <v>120</v>
      </c>
      <c r="C27" s="110">
        <v>9</v>
      </c>
      <c r="D27" s="108" t="s">
        <v>124</v>
      </c>
      <c r="E27" s="110">
        <v>1023</v>
      </c>
      <c r="F27" s="111">
        <f>ROUND((C27*E27),2)</f>
        <v>9207</v>
      </c>
      <c r="G27" s="110">
        <v>0</v>
      </c>
      <c r="H27" s="111">
        <f>ROUND((G27*C27),2)</f>
        <v>0</v>
      </c>
      <c r="I27" s="111">
        <f t="shared" si="2"/>
        <v>9207</v>
      </c>
      <c r="J27" s="108"/>
    </row>
    <row r="28" spans="1:10" ht="19.5">
      <c r="A28" s="108">
        <v>3</v>
      </c>
      <c r="B28" s="113" t="s">
        <v>121</v>
      </c>
      <c r="C28" s="110">
        <v>10</v>
      </c>
      <c r="D28" s="108" t="s">
        <v>124</v>
      </c>
      <c r="E28" s="110">
        <v>1475</v>
      </c>
      <c r="F28" s="111">
        <f>ROUND((C28*E28),2)</f>
        <v>14750</v>
      </c>
      <c r="G28" s="110">
        <v>0</v>
      </c>
      <c r="H28" s="111">
        <f>ROUND((G28*C28),2)</f>
        <v>0</v>
      </c>
      <c r="I28" s="111">
        <f t="shared" si="2"/>
        <v>14750</v>
      </c>
      <c r="J28" s="108"/>
    </row>
    <row r="29" spans="1:10" ht="19.5">
      <c r="A29" s="108">
        <v>4</v>
      </c>
      <c r="B29" s="113" t="s">
        <v>122</v>
      </c>
      <c r="C29" s="110">
        <v>60</v>
      </c>
      <c r="D29" s="108" t="s">
        <v>12</v>
      </c>
      <c r="E29" s="110">
        <v>50</v>
      </c>
      <c r="F29" s="111">
        <f>ROUND((C29*E29),2)</f>
        <v>3000</v>
      </c>
      <c r="G29" s="110">
        <v>5</v>
      </c>
      <c r="H29" s="111">
        <f>ROUND((G29*C29),2)</f>
        <v>300</v>
      </c>
      <c r="I29" s="111">
        <f t="shared" si="2"/>
        <v>3300</v>
      </c>
      <c r="J29" s="108"/>
    </row>
    <row r="30" spans="1:10" ht="19.5">
      <c r="A30" s="345" t="s">
        <v>53</v>
      </c>
      <c r="B30" s="346"/>
      <c r="C30" s="346"/>
      <c r="D30" s="346"/>
      <c r="E30" s="346"/>
      <c r="F30" s="346"/>
      <c r="G30" s="346"/>
      <c r="H30" s="346"/>
      <c r="I30" s="346"/>
      <c r="J30" s="347"/>
    </row>
    <row r="31" spans="1:10" ht="19.5">
      <c r="A31" s="348" t="s">
        <v>113</v>
      </c>
      <c r="B31" s="349"/>
      <c r="C31" s="349"/>
      <c r="D31" s="349"/>
      <c r="E31" s="349"/>
      <c r="F31" s="349"/>
      <c r="G31" s="349"/>
      <c r="H31" s="349"/>
      <c r="I31" s="349"/>
      <c r="J31" s="101" t="s">
        <v>55</v>
      </c>
    </row>
    <row r="32" spans="1:10" ht="19.5">
      <c r="A32" s="350" t="s">
        <v>114</v>
      </c>
      <c r="B32" s="351"/>
      <c r="C32" s="351"/>
      <c r="D32" s="351"/>
      <c r="E32" s="351"/>
      <c r="F32" s="351"/>
      <c r="G32" s="351"/>
      <c r="H32" s="351"/>
      <c r="I32" s="351"/>
      <c r="J32" s="101" t="s">
        <v>98</v>
      </c>
    </row>
    <row r="33" spans="1:10" ht="19.5">
      <c r="A33" s="350" t="s">
        <v>171</v>
      </c>
      <c r="B33" s="351"/>
      <c r="C33" s="351"/>
      <c r="D33" s="351"/>
      <c r="E33" s="351"/>
      <c r="F33" s="351"/>
      <c r="G33" s="351"/>
      <c r="H33" s="351"/>
      <c r="I33" s="351"/>
      <c r="J33" s="102"/>
    </row>
    <row r="34" spans="1:10" ht="19.5">
      <c r="A34" s="350" t="s">
        <v>115</v>
      </c>
      <c r="B34" s="351"/>
      <c r="C34" s="351"/>
      <c r="D34" s="351"/>
      <c r="E34" s="351"/>
      <c r="F34" s="351"/>
      <c r="G34" s="351"/>
      <c r="H34" s="351"/>
      <c r="I34" s="351"/>
      <c r="J34" s="103"/>
    </row>
    <row r="35" spans="1:10" ht="19.5">
      <c r="A35" s="350" t="str">
        <f>A6</f>
        <v>ประมาณการ   : วันที่  6   เดือน กุมภาพันธ์  พ.ศ.2560</v>
      </c>
      <c r="B35" s="351"/>
      <c r="C35" s="351"/>
      <c r="D35" s="351"/>
      <c r="E35" s="351"/>
      <c r="F35" s="351"/>
      <c r="G35" s="351"/>
      <c r="H35" s="351"/>
      <c r="I35" s="351"/>
      <c r="J35" s="103"/>
    </row>
    <row r="36" spans="1:10" ht="20.25" thickBot="1">
      <c r="A36" s="340" t="s">
        <v>116</v>
      </c>
      <c r="B36" s="341"/>
      <c r="C36" s="341"/>
      <c r="D36" s="341"/>
      <c r="E36" s="341"/>
      <c r="F36" s="341"/>
      <c r="G36" s="341"/>
      <c r="H36" s="341"/>
      <c r="I36" s="341"/>
      <c r="J36" s="104" t="s">
        <v>57</v>
      </c>
    </row>
    <row r="37" spans="1:10" ht="20.25" thickTop="1">
      <c r="A37" s="338" t="s">
        <v>140</v>
      </c>
      <c r="B37" s="338" t="s">
        <v>0</v>
      </c>
      <c r="C37" s="342" t="s">
        <v>1</v>
      </c>
      <c r="D37" s="338" t="s">
        <v>2</v>
      </c>
      <c r="E37" s="344" t="s">
        <v>58</v>
      </c>
      <c r="F37" s="344"/>
      <c r="G37" s="344" t="s">
        <v>59</v>
      </c>
      <c r="H37" s="344"/>
      <c r="I37" s="105" t="s">
        <v>25</v>
      </c>
      <c r="J37" s="338" t="s">
        <v>4</v>
      </c>
    </row>
    <row r="38" spans="1:10" ht="20.25" thickBot="1">
      <c r="A38" s="339"/>
      <c r="B38" s="339"/>
      <c r="C38" s="343"/>
      <c r="D38" s="339"/>
      <c r="E38" s="106" t="s">
        <v>19</v>
      </c>
      <c r="F38" s="106" t="s">
        <v>3</v>
      </c>
      <c r="G38" s="107" t="s">
        <v>19</v>
      </c>
      <c r="H38" s="106" t="s">
        <v>3</v>
      </c>
      <c r="I38" s="106" t="s">
        <v>21</v>
      </c>
      <c r="J38" s="339"/>
    </row>
    <row r="39" spans="1:10" ht="20.25" thickTop="1">
      <c r="A39" s="108">
        <v>5</v>
      </c>
      <c r="B39" s="113" t="s">
        <v>126</v>
      </c>
      <c r="C39" s="110">
        <v>29</v>
      </c>
      <c r="D39" s="108" t="s">
        <v>11</v>
      </c>
      <c r="E39" s="110">
        <v>518</v>
      </c>
      <c r="F39" s="111">
        <f>ROUND((C39*E39),2)</f>
        <v>15022</v>
      </c>
      <c r="G39" s="110">
        <v>515</v>
      </c>
      <c r="H39" s="111">
        <f>ROUND((G39*C39),2)</f>
        <v>14935</v>
      </c>
      <c r="I39" s="111">
        <f>ROUND((F39+H39),2)</f>
        <v>29957</v>
      </c>
      <c r="J39" s="108"/>
    </row>
    <row r="40" spans="1:10" ht="19.5">
      <c r="A40" s="108">
        <v>6</v>
      </c>
      <c r="B40" s="113" t="s">
        <v>123</v>
      </c>
      <c r="C40" s="110">
        <v>1.2</v>
      </c>
      <c r="D40" s="108" t="s">
        <v>11</v>
      </c>
      <c r="E40" s="110">
        <v>518</v>
      </c>
      <c r="F40" s="111">
        <f>ROUND((C40*E40),2)</f>
        <v>621.6</v>
      </c>
      <c r="G40" s="110">
        <v>515</v>
      </c>
      <c r="H40" s="111">
        <f>ROUND((G40*C40),2)</f>
        <v>618</v>
      </c>
      <c r="I40" s="111">
        <f>ROUND((F40+H40),2)</f>
        <v>1239.6</v>
      </c>
      <c r="J40" s="114"/>
    </row>
    <row r="41" spans="1:10" ht="19.5">
      <c r="A41" s="108"/>
      <c r="B41" s="113"/>
      <c r="C41" s="110"/>
      <c r="D41" s="108"/>
      <c r="E41" s="110"/>
      <c r="F41" s="111"/>
      <c r="G41" s="110"/>
      <c r="H41" s="111"/>
      <c r="I41" s="111"/>
      <c r="J41" s="114"/>
    </row>
    <row r="42" spans="1:10" ht="19.5">
      <c r="A42" s="108"/>
      <c r="B42" s="115" t="s">
        <v>89</v>
      </c>
      <c r="C42" s="110"/>
      <c r="D42" s="108"/>
      <c r="E42" s="110"/>
      <c r="F42" s="111"/>
      <c r="G42" s="110"/>
      <c r="H42" s="111"/>
      <c r="I42" s="111">
        <f>SUM(F10:F40)</f>
        <v>103075.4</v>
      </c>
      <c r="J42" s="108"/>
    </row>
    <row r="43" spans="1:10" ht="19.5">
      <c r="A43" s="108"/>
      <c r="B43" s="115" t="s">
        <v>90</v>
      </c>
      <c r="C43" s="110"/>
      <c r="D43" s="108"/>
      <c r="E43" s="110"/>
      <c r="F43" s="111"/>
      <c r="G43" s="110"/>
      <c r="H43" s="111"/>
      <c r="I43" s="111">
        <f>SUM(H10:H40)</f>
        <v>78907.89</v>
      </c>
      <c r="J43" s="108"/>
    </row>
    <row r="44" spans="1:10" ht="19.5">
      <c r="A44" s="108"/>
      <c r="B44" s="115" t="s">
        <v>91</v>
      </c>
      <c r="C44" s="110"/>
      <c r="D44" s="108"/>
      <c r="E44" s="110"/>
      <c r="F44" s="111"/>
      <c r="G44" s="110"/>
      <c r="H44" s="111"/>
      <c r="I44" s="111">
        <f>SUM(I42:I43)</f>
        <v>181983.28999999998</v>
      </c>
      <c r="J44" s="108"/>
    </row>
    <row r="45" spans="1:10" ht="19.5">
      <c r="A45" s="108"/>
      <c r="B45" s="115" t="s">
        <v>145</v>
      </c>
      <c r="C45" s="110"/>
      <c r="D45" s="108"/>
      <c r="E45" s="110"/>
      <c r="F45" s="111"/>
      <c r="G45" s="110"/>
      <c r="H45" s="111"/>
      <c r="I45" s="111">
        <f>0.3347*I44</f>
        <v>60909.80716299999</v>
      </c>
      <c r="J45" s="108"/>
    </row>
    <row r="46" spans="1:10" ht="19.5">
      <c r="A46" s="108"/>
      <c r="B46" s="115" t="s">
        <v>34</v>
      </c>
      <c r="C46" s="110"/>
      <c r="D46" s="108"/>
      <c r="E46" s="110"/>
      <c r="F46" s="111"/>
      <c r="G46" s="110"/>
      <c r="H46" s="111"/>
      <c r="I46" s="111">
        <f>SUM(I44:I45)</f>
        <v>242893.09716299997</v>
      </c>
      <c r="J46" s="108"/>
    </row>
    <row r="47" spans="1:10" ht="19.5">
      <c r="A47" s="108"/>
      <c r="B47" s="116" t="s">
        <v>94</v>
      </c>
      <c r="C47" s="110"/>
      <c r="D47" s="108"/>
      <c r="E47" s="110"/>
      <c r="F47" s="111"/>
      <c r="G47" s="110"/>
      <c r="H47" s="111"/>
      <c r="I47" s="111">
        <v>242000</v>
      </c>
      <c r="J47" s="108"/>
    </row>
    <row r="48" spans="1:10" ht="19.5">
      <c r="A48" s="108"/>
      <c r="B48" s="113"/>
      <c r="C48" s="110"/>
      <c r="D48" s="108"/>
      <c r="E48" s="110"/>
      <c r="F48" s="111"/>
      <c r="G48" s="110"/>
      <c r="H48" s="111"/>
      <c r="I48" s="111"/>
      <c r="J48" s="108"/>
    </row>
    <row r="49" spans="1:10" ht="19.5">
      <c r="A49" s="108"/>
      <c r="B49" s="113"/>
      <c r="C49" s="110"/>
      <c r="D49" s="108"/>
      <c r="E49" s="110"/>
      <c r="F49" s="111"/>
      <c r="G49" s="110"/>
      <c r="H49" s="111"/>
      <c r="I49" s="111"/>
      <c r="J49" s="108"/>
    </row>
  </sheetData>
  <sheetProtection/>
  <mergeCells count="28">
    <mergeCell ref="J37:J38"/>
    <mergeCell ref="J8:J9"/>
    <mergeCell ref="A31:I31"/>
    <mergeCell ref="A32:I32"/>
    <mergeCell ref="A33:I33"/>
    <mergeCell ref="G37:H37"/>
    <mergeCell ref="A30:J30"/>
    <mergeCell ref="B8:B9"/>
    <mergeCell ref="C8:C9"/>
    <mergeCell ref="A34:I34"/>
    <mergeCell ref="A1:J1"/>
    <mergeCell ref="A2:I2"/>
    <mergeCell ref="A3:I3"/>
    <mergeCell ref="A4:I4"/>
    <mergeCell ref="A5:I5"/>
    <mergeCell ref="A6:I6"/>
    <mergeCell ref="A35:I35"/>
    <mergeCell ref="A7:I7"/>
    <mergeCell ref="A8:A9"/>
    <mergeCell ref="D8:D9"/>
    <mergeCell ref="E8:F8"/>
    <mergeCell ref="G8:H8"/>
    <mergeCell ref="A36:I36"/>
    <mergeCell ref="A37:A38"/>
    <mergeCell ref="B37:B38"/>
    <mergeCell ref="C37:C38"/>
    <mergeCell ref="D37:D38"/>
    <mergeCell ref="E37:F37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110" zoomScaleSheetLayoutView="110" zoomScalePageLayoutView="0" workbookViewId="0" topLeftCell="A1">
      <selection activeCell="O10" sqref="O10"/>
    </sheetView>
  </sheetViews>
  <sheetFormatPr defaultColWidth="9.140625" defaultRowHeight="21.75"/>
  <cols>
    <col min="1" max="1" width="5.57421875" style="279" customWidth="1"/>
    <col min="2" max="2" width="11.421875" style="279" customWidth="1"/>
    <col min="3" max="3" width="5.57421875" style="279" customWidth="1"/>
    <col min="4" max="4" width="2.7109375" style="279" customWidth="1"/>
    <col min="5" max="5" width="10.8515625" style="279" customWidth="1"/>
    <col min="6" max="10" width="12.7109375" style="279" customWidth="1"/>
    <col min="11" max="16384" width="9.140625" style="279" customWidth="1"/>
  </cols>
  <sheetData>
    <row r="1" spans="1:10" ht="26.25">
      <c r="A1" s="441" t="s">
        <v>397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1">
      <c r="A2" s="442" t="str">
        <f>'1ปร.4(งานอาคาร)'!A2:I2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2" s="442"/>
      <c r="C2" s="442"/>
      <c r="D2" s="442"/>
      <c r="E2" s="442"/>
      <c r="F2" s="442"/>
      <c r="G2" s="442"/>
      <c r="H2" s="442"/>
      <c r="I2" s="442"/>
      <c r="J2" s="442"/>
    </row>
    <row r="3" spans="1:10" ht="21">
      <c r="A3" s="442" t="str">
        <f>'1ปร.4(งานอาคาร)'!A3:I3</f>
        <v>ชื่อโครงการ      : ก่อสร้างรางระบายน้ำ  บ้านป่ากลาง  หมู่ที่ 7 ( บริเวณบ้านผู้ช่วยวิชาญถึงบ้านอาจารย์พนม )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0" ht="21">
      <c r="A4" s="442" t="str">
        <f>'1ปร.4(งานอาคาร)'!A4:I4</f>
        <v>สถานที่ก่อสร้าง : บ้านป่ากลาง  หมู่ที่ 7 ตำบลป่ากลาง  อำเภอปัว จังหวัดน่าน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0" ht="21">
      <c r="A5" s="443" t="str">
        <f>'1ปร.4(งานอาคาร)'!A5:I5</f>
        <v>ปริมาณงาน      :   ก่อสร้างรางระบายน้ำขนาดกว้าง 0.40 เมตร  ลึก 0.35 เมตร  ยาว  55.50  เมตร  พร้อมผาปิดตะแกรงเหล็ก</v>
      </c>
      <c r="B5" s="443"/>
      <c r="C5" s="443"/>
      <c r="D5" s="443"/>
      <c r="E5" s="443"/>
      <c r="F5" s="443"/>
      <c r="G5" s="443"/>
      <c r="H5" s="443"/>
      <c r="I5" s="443"/>
      <c r="J5" s="443"/>
    </row>
    <row r="6" spans="1:10" ht="2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21">
      <c r="A7" s="444" t="s">
        <v>398</v>
      </c>
      <c r="B7" s="444"/>
      <c r="C7" s="444"/>
      <c r="D7" s="444"/>
      <c r="E7" s="444"/>
      <c r="F7" s="444"/>
      <c r="G7" s="444"/>
      <c r="H7" s="444"/>
      <c r="I7" s="444"/>
      <c r="J7" s="444"/>
    </row>
    <row r="8" spans="1:10" ht="21">
      <c r="A8" s="447" t="s">
        <v>339</v>
      </c>
      <c r="B8" s="448"/>
      <c r="C8" s="448"/>
      <c r="D8" s="448"/>
      <c r="E8" s="449"/>
      <c r="F8" s="280" t="s">
        <v>340</v>
      </c>
      <c r="G8" s="280" t="s">
        <v>341</v>
      </c>
      <c r="H8" s="280" t="s">
        <v>342</v>
      </c>
      <c r="I8" s="280" t="s">
        <v>343</v>
      </c>
      <c r="J8" s="280" t="s">
        <v>344</v>
      </c>
    </row>
    <row r="9" spans="1:10" ht="21">
      <c r="A9" s="450" t="s">
        <v>345</v>
      </c>
      <c r="B9" s="451"/>
      <c r="C9" s="451"/>
      <c r="D9" s="451"/>
      <c r="E9" s="452"/>
      <c r="F9" s="282" t="s">
        <v>346</v>
      </c>
      <c r="G9" s="282" t="s">
        <v>347</v>
      </c>
      <c r="H9" s="282" t="s">
        <v>348</v>
      </c>
      <c r="I9" s="282" t="s">
        <v>349</v>
      </c>
      <c r="J9" s="282" t="s">
        <v>350</v>
      </c>
    </row>
    <row r="10" spans="1:10" ht="21">
      <c r="A10" s="283" t="s">
        <v>351</v>
      </c>
      <c r="B10" s="268"/>
      <c r="C10" s="284">
        <v>1.05</v>
      </c>
      <c r="D10" s="284" t="s">
        <v>352</v>
      </c>
      <c r="E10" s="290">
        <f>ราคาวัสดุ!K17</f>
        <v>2803.74</v>
      </c>
      <c r="F10" s="285">
        <f>ROUND($E$10*$C$10*0.4,2)</f>
        <v>1177.57</v>
      </c>
      <c r="G10" s="285">
        <f>ROUND($E$10*$C$10*0.35,2)</f>
        <v>1030.37</v>
      </c>
      <c r="H10" s="285">
        <f>ROUND($E$10*$C$10*0.32,2)</f>
        <v>942.06</v>
      </c>
      <c r="I10" s="285">
        <f>ROUND($E$10*$C$10*0.29,2)</f>
        <v>853.74</v>
      </c>
      <c r="J10" s="285">
        <f>ROUND($E$10*$C$10*0.24,2)</f>
        <v>706.54</v>
      </c>
    </row>
    <row r="11" spans="1:10" ht="21">
      <c r="A11" s="283" t="s">
        <v>353</v>
      </c>
      <c r="B11" s="268"/>
      <c r="C11" s="284">
        <v>1.2</v>
      </c>
      <c r="D11" s="284" t="s">
        <v>352</v>
      </c>
      <c r="E11" s="290">
        <f>ราคาวัสดุ!K18</f>
        <v>535.84</v>
      </c>
      <c r="F11" s="285">
        <f>ROUND($E$11*$C$11*0.524,2)</f>
        <v>336.94</v>
      </c>
      <c r="G11" s="285">
        <f>ROUND($E$11*$C$11*0.572,2)</f>
        <v>367.8</v>
      </c>
      <c r="H11" s="285">
        <f>ROUND($E$11*$C$11*0.596,2)</f>
        <v>383.23</v>
      </c>
      <c r="I11" s="285">
        <f>ROUND($E$11*$C$11*0.62,2)</f>
        <v>398.66</v>
      </c>
      <c r="J11" s="285">
        <f>ROUND($E$11*$C$11*0.52,2)</f>
        <v>334.36</v>
      </c>
    </row>
    <row r="12" spans="1:10" ht="21">
      <c r="A12" s="283" t="s">
        <v>354</v>
      </c>
      <c r="B12" s="268"/>
      <c r="C12" s="284">
        <v>1.15</v>
      </c>
      <c r="D12" s="284" t="s">
        <v>352</v>
      </c>
      <c r="E12" s="290">
        <f>ราคาวัสดุ!K19</f>
        <v>605.46</v>
      </c>
      <c r="F12" s="285">
        <f>ROUND($E$12*$C$12*0.728,2)</f>
        <v>506.89</v>
      </c>
      <c r="G12" s="285">
        <f>ROUND($E$12*$C$12*0.736,2)</f>
        <v>512.46</v>
      </c>
      <c r="H12" s="285">
        <f>ROUND($E$12*$C$12*0.764,2)</f>
        <v>531.96</v>
      </c>
      <c r="I12" s="285">
        <f>ROUND($E$12*$C$12*0.725,2)</f>
        <v>504.8</v>
      </c>
      <c r="J12" s="285">
        <f>ROUND($E$12*$C$12*0.87,2)</f>
        <v>605.76</v>
      </c>
    </row>
    <row r="13" spans="1:10" ht="21">
      <c r="A13" s="271" t="s">
        <v>355</v>
      </c>
      <c r="B13" s="286"/>
      <c r="C13" s="287"/>
      <c r="D13" s="287"/>
      <c r="E13" s="288"/>
      <c r="F13" s="289"/>
      <c r="G13" s="289"/>
      <c r="H13" s="289"/>
      <c r="I13" s="289"/>
      <c r="J13" s="289"/>
    </row>
    <row r="14" spans="1:10" ht="21">
      <c r="A14" s="447" t="s">
        <v>25</v>
      </c>
      <c r="B14" s="448"/>
      <c r="C14" s="448"/>
      <c r="D14" s="448"/>
      <c r="E14" s="449"/>
      <c r="F14" s="280"/>
      <c r="G14" s="280"/>
      <c r="H14" s="280"/>
      <c r="I14" s="280"/>
      <c r="J14" s="309">
        <f>ROUNDDOWN(SUM(J10:J13),0)</f>
        <v>1646</v>
      </c>
    </row>
    <row r="15" spans="3:10" ht="21">
      <c r="C15" s="281"/>
      <c r="D15" s="281"/>
      <c r="E15" s="281"/>
      <c r="F15" s="281"/>
      <c r="G15" s="281"/>
      <c r="H15" s="281"/>
      <c r="I15" s="281"/>
      <c r="J15" s="281"/>
    </row>
    <row r="16" spans="1:10" ht="23.25" customHeight="1">
      <c r="A16" s="445" t="s">
        <v>401</v>
      </c>
      <c r="B16" s="445"/>
      <c r="C16" s="445"/>
      <c r="D16" s="445"/>
      <c r="E16" s="445"/>
      <c r="F16" s="445"/>
      <c r="G16" s="445"/>
      <c r="H16" s="445"/>
      <c r="I16" s="445"/>
      <c r="J16" s="445"/>
    </row>
    <row r="17" spans="1:10" ht="21">
      <c r="A17" s="235"/>
      <c r="B17" s="279" t="s">
        <v>402</v>
      </c>
      <c r="E17" s="293"/>
      <c r="F17" s="294"/>
      <c r="G17" s="291"/>
      <c r="H17" s="291" t="s">
        <v>403</v>
      </c>
      <c r="I17" s="295">
        <f>ราคาวัสดุ!K18</f>
        <v>535.84</v>
      </c>
      <c r="J17" s="292" t="s">
        <v>404</v>
      </c>
    </row>
    <row r="18" spans="1:10" ht="21">
      <c r="A18" s="235"/>
      <c r="B18" s="296" t="s">
        <v>405</v>
      </c>
      <c r="C18" s="297"/>
      <c r="D18" s="297"/>
      <c r="E18" s="308">
        <v>0</v>
      </c>
      <c r="F18" s="298" t="s">
        <v>406</v>
      </c>
      <c r="G18" s="291"/>
      <c r="H18" s="291" t="s">
        <v>403</v>
      </c>
      <c r="I18" s="299">
        <v>0</v>
      </c>
      <c r="J18" s="292" t="s">
        <v>404</v>
      </c>
    </row>
    <row r="19" spans="1:10" ht="21">
      <c r="A19" s="235"/>
      <c r="B19" s="297" t="s">
        <v>407</v>
      </c>
      <c r="C19" s="297"/>
      <c r="D19" s="297"/>
      <c r="E19" s="291"/>
      <c r="F19" s="298"/>
      <c r="G19" s="291"/>
      <c r="H19" s="291"/>
      <c r="I19" s="300">
        <f>ROUND(SUM(I17:I18),2)</f>
        <v>535.84</v>
      </c>
      <c r="J19" s="292" t="s">
        <v>404</v>
      </c>
    </row>
    <row r="20" spans="1:10" ht="21">
      <c r="A20" s="235"/>
      <c r="B20" s="297" t="s">
        <v>412</v>
      </c>
      <c r="C20" s="297"/>
      <c r="D20" s="307" t="s">
        <v>414</v>
      </c>
      <c r="E20" s="291" t="s">
        <v>413</v>
      </c>
      <c r="F20" s="301">
        <f>I17</f>
        <v>535.84</v>
      </c>
      <c r="G20" s="291"/>
      <c r="H20" s="291" t="s">
        <v>403</v>
      </c>
      <c r="I20" s="302">
        <f>ROUND(F20*1.25,2)</f>
        <v>669.8</v>
      </c>
      <c r="J20" s="292" t="s">
        <v>408</v>
      </c>
    </row>
    <row r="21" spans="1:10" ht="21">
      <c r="A21" s="235"/>
      <c r="B21" s="279" t="s">
        <v>409</v>
      </c>
      <c r="E21" s="293"/>
      <c r="F21" s="294"/>
      <c r="G21" s="291"/>
      <c r="H21" s="291" t="s">
        <v>403</v>
      </c>
      <c r="I21" s="303">
        <v>0</v>
      </c>
      <c r="J21" s="292" t="s">
        <v>408</v>
      </c>
    </row>
    <row r="22" spans="1:10" ht="21">
      <c r="A22" s="235"/>
      <c r="B22" s="304" t="s">
        <v>410</v>
      </c>
      <c r="C22" s="297"/>
      <c r="D22" s="297"/>
      <c r="E22" s="291"/>
      <c r="F22" s="298"/>
      <c r="G22" s="291"/>
      <c r="H22" s="291"/>
      <c r="I22" s="305">
        <f>ROUND(SUM(I20:I21),2)</f>
        <v>669.8</v>
      </c>
      <c r="J22" s="292" t="s">
        <v>404</v>
      </c>
    </row>
    <row r="23" spans="1:10" ht="21.75" thickBot="1">
      <c r="A23" s="235"/>
      <c r="B23" s="234"/>
      <c r="C23" s="234"/>
      <c r="D23" s="234"/>
      <c r="E23" s="234"/>
      <c r="F23" s="297" t="s">
        <v>411</v>
      </c>
      <c r="G23" s="234"/>
      <c r="H23" s="234"/>
      <c r="I23" s="306">
        <f>ROUNDDOWN(I22,0)</f>
        <v>669</v>
      </c>
      <c r="J23" s="292" t="s">
        <v>404</v>
      </c>
    </row>
    <row r="24" ht="21.75" thickTop="1"/>
    <row r="25" spans="1:10" ht="21">
      <c r="A25" s="445" t="s">
        <v>465</v>
      </c>
      <c r="B25" s="445"/>
      <c r="C25" s="445"/>
      <c r="D25" s="445"/>
      <c r="E25" s="445"/>
      <c r="F25" s="445"/>
      <c r="G25" s="445"/>
      <c r="H25" s="445"/>
      <c r="I25" s="445"/>
      <c r="J25" s="445"/>
    </row>
    <row r="26" spans="1:10" ht="23.25" customHeight="1">
      <c r="A26" s="446" t="s">
        <v>0</v>
      </c>
      <c r="B26" s="446"/>
      <c r="C26" s="446"/>
      <c r="D26" s="446"/>
      <c r="E26" s="446"/>
      <c r="F26" s="446"/>
      <c r="G26" s="239" t="s">
        <v>1</v>
      </c>
      <c r="H26" s="239" t="s">
        <v>2</v>
      </c>
      <c r="I26" s="319" t="s">
        <v>456</v>
      </c>
      <c r="J26" s="239" t="s">
        <v>457</v>
      </c>
    </row>
    <row r="27" spans="1:10" ht="21">
      <c r="A27" s="334" t="s">
        <v>466</v>
      </c>
      <c r="F27" s="320"/>
      <c r="G27" s="320"/>
      <c r="H27" s="321"/>
      <c r="I27" s="322"/>
      <c r="J27" s="323"/>
    </row>
    <row r="28" spans="1:10" ht="21">
      <c r="A28" s="335" t="s">
        <v>458</v>
      </c>
      <c r="F28" s="324"/>
      <c r="G28" s="324">
        <v>1</v>
      </c>
      <c r="H28" s="321" t="s">
        <v>330</v>
      </c>
      <c r="I28" s="325">
        <f>ราคาวัสดุ!K23</f>
        <v>696.26</v>
      </c>
      <c r="J28" s="326">
        <f>G28*I28</f>
        <v>696.26</v>
      </c>
    </row>
    <row r="29" spans="1:10" ht="21">
      <c r="A29" s="335" t="s">
        <v>459</v>
      </c>
      <c r="F29" s="324"/>
      <c r="G29" s="324">
        <v>0.3</v>
      </c>
      <c r="H29" s="321" t="s">
        <v>330</v>
      </c>
      <c r="I29" s="325">
        <f>ราคาวัสดุ!K24</f>
        <v>582.24</v>
      </c>
      <c r="J29" s="326">
        <f>G29*I29</f>
        <v>174.672</v>
      </c>
    </row>
    <row r="30" spans="1:10" ht="21">
      <c r="A30" s="335" t="s">
        <v>460</v>
      </c>
      <c r="F30" s="324"/>
      <c r="G30" s="324">
        <v>0</v>
      </c>
      <c r="H30" s="321" t="s">
        <v>277</v>
      </c>
      <c r="I30" s="325">
        <f>ราคาวัสดุ!K25</f>
        <v>0</v>
      </c>
      <c r="J30" s="326">
        <f>G30*I30</f>
        <v>0</v>
      </c>
    </row>
    <row r="31" spans="1:10" ht="21">
      <c r="A31" s="335" t="s">
        <v>461</v>
      </c>
      <c r="F31" s="324"/>
      <c r="G31" s="324">
        <f>G28*25%</f>
        <v>0.25</v>
      </c>
      <c r="H31" s="321" t="s">
        <v>26</v>
      </c>
      <c r="I31" s="325">
        <f>ราคาวัสดุ!K26</f>
        <v>37.38</v>
      </c>
      <c r="J31" s="326">
        <f>G31*I31</f>
        <v>9.345</v>
      </c>
    </row>
    <row r="32" spans="1:10" ht="21">
      <c r="A32" s="335" t="s">
        <v>462</v>
      </c>
      <c r="F32" s="324"/>
      <c r="G32" s="324">
        <v>1</v>
      </c>
      <c r="H32" s="321" t="s">
        <v>12</v>
      </c>
      <c r="I32" s="325">
        <v>0</v>
      </c>
      <c r="J32" s="326">
        <f>G32*I32</f>
        <v>0</v>
      </c>
    </row>
    <row r="33" spans="1:10" ht="21">
      <c r="A33" s="335"/>
      <c r="F33" s="336" t="s">
        <v>25</v>
      </c>
      <c r="G33" s="324"/>
      <c r="H33" s="321"/>
      <c r="I33" s="327" t="s">
        <v>414</v>
      </c>
      <c r="J33" s="328">
        <f>ROUND(SUM(J28:J32),2)</f>
        <v>880.28</v>
      </c>
    </row>
    <row r="34" spans="1:10" ht="21">
      <c r="A34" s="335"/>
      <c r="F34" s="336" t="s">
        <v>467</v>
      </c>
      <c r="G34" s="329">
        <v>1</v>
      </c>
      <c r="H34" s="321" t="s">
        <v>12</v>
      </c>
      <c r="I34" s="330" t="s">
        <v>414</v>
      </c>
      <c r="J34" s="331">
        <f>ROUND(J33/4,2)</f>
        <v>220.07</v>
      </c>
    </row>
    <row r="35" spans="1:10" ht="21">
      <c r="A35" s="335" t="s">
        <v>463</v>
      </c>
      <c r="F35" s="335"/>
      <c r="G35" s="324">
        <v>1</v>
      </c>
      <c r="H35" s="321" t="s">
        <v>12</v>
      </c>
      <c r="I35" s="327" t="s">
        <v>414</v>
      </c>
      <c r="J35" s="332">
        <v>133</v>
      </c>
    </row>
    <row r="36" spans="6:10" ht="21.75" thickBot="1">
      <c r="F36" s="337" t="s">
        <v>464</v>
      </c>
      <c r="G36" s="320">
        <v>1</v>
      </c>
      <c r="H36" s="321" t="s">
        <v>12</v>
      </c>
      <c r="I36" s="327" t="s">
        <v>414</v>
      </c>
      <c r="J36" s="333">
        <f>ROUNDDOWN(J34+J35,0)</f>
        <v>353</v>
      </c>
    </row>
    <row r="37" ht="21.75" thickTop="1"/>
  </sheetData>
  <sheetProtection/>
  <mergeCells count="12">
    <mergeCell ref="A16:J16"/>
    <mergeCell ref="A25:J25"/>
    <mergeCell ref="A26:F26"/>
    <mergeCell ref="A14:E14"/>
    <mergeCell ref="A9:E9"/>
    <mergeCell ref="A8:E8"/>
    <mergeCell ref="A1:J1"/>
    <mergeCell ref="A2:J2"/>
    <mergeCell ref="A3:J3"/>
    <mergeCell ref="A4:J4"/>
    <mergeCell ref="A5:J5"/>
    <mergeCell ref="A7:J7"/>
  </mergeCell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21.75"/>
  <cols>
    <col min="1" max="1" width="7.8515625" style="0" customWidth="1"/>
    <col min="2" max="2" width="41.140625" style="0" customWidth="1"/>
    <col min="3" max="3" width="9.28125" style="0" customWidth="1"/>
    <col min="4" max="4" width="10.57421875" style="0" customWidth="1"/>
    <col min="5" max="5" width="12.140625" style="0" customWidth="1"/>
    <col min="6" max="6" width="13.00390625" style="0" customWidth="1"/>
    <col min="7" max="7" width="11.140625" style="0" customWidth="1"/>
    <col min="8" max="8" width="12.421875" style="0" customWidth="1"/>
    <col min="9" max="9" width="14.421875" style="0" customWidth="1"/>
    <col min="10" max="10" width="21.8515625" style="0" customWidth="1"/>
    <col min="11" max="11" width="4.140625" style="0" customWidth="1"/>
    <col min="12" max="12" width="8.7109375" style="0" customWidth="1"/>
  </cols>
  <sheetData>
    <row r="1" spans="1:10" s="14" customFormat="1" ht="23.25">
      <c r="A1" s="359" t="s">
        <v>53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s="14" customFormat="1" ht="23.25">
      <c r="A2" s="362" t="s">
        <v>173</v>
      </c>
      <c r="B2" s="363"/>
      <c r="C2" s="363"/>
      <c r="D2" s="363"/>
      <c r="E2" s="363"/>
      <c r="F2" s="363"/>
      <c r="G2" s="363"/>
      <c r="H2" s="363"/>
      <c r="I2" s="363"/>
      <c r="J2" s="33" t="s">
        <v>55</v>
      </c>
    </row>
    <row r="3" spans="1:10" s="14" customFormat="1" ht="23.25">
      <c r="A3" s="352" t="s">
        <v>174</v>
      </c>
      <c r="B3" s="353"/>
      <c r="C3" s="353"/>
      <c r="D3" s="353"/>
      <c r="E3" s="353"/>
      <c r="F3" s="353"/>
      <c r="G3" s="353"/>
      <c r="H3" s="353"/>
      <c r="I3" s="353"/>
      <c r="J3" s="33" t="s">
        <v>257</v>
      </c>
    </row>
    <row r="4" spans="1:10" s="14" customFormat="1" ht="23.25">
      <c r="A4" s="352" t="s">
        <v>262</v>
      </c>
      <c r="B4" s="353"/>
      <c r="C4" s="353"/>
      <c r="D4" s="353"/>
      <c r="E4" s="353"/>
      <c r="F4" s="353"/>
      <c r="G4" s="353"/>
      <c r="H4" s="353"/>
      <c r="I4" s="353"/>
      <c r="J4" s="34"/>
    </row>
    <row r="5" spans="1:10" s="14" customFormat="1" ht="23.25">
      <c r="A5" s="352" t="s">
        <v>175</v>
      </c>
      <c r="B5" s="353"/>
      <c r="C5" s="353"/>
      <c r="D5" s="353"/>
      <c r="E5" s="353"/>
      <c r="F5" s="353"/>
      <c r="G5" s="353"/>
      <c r="H5" s="353"/>
      <c r="I5" s="353"/>
      <c r="J5" s="35"/>
    </row>
    <row r="6" spans="1:10" s="14" customFormat="1" ht="23.25">
      <c r="A6" s="352" t="s">
        <v>248</v>
      </c>
      <c r="B6" s="353"/>
      <c r="C6" s="353"/>
      <c r="D6" s="353"/>
      <c r="E6" s="353"/>
      <c r="F6" s="353"/>
      <c r="G6" s="353"/>
      <c r="H6" s="353"/>
      <c r="I6" s="353"/>
      <c r="J6" s="35"/>
    </row>
    <row r="7" spans="1:10" s="14" customFormat="1" ht="24" thickBot="1">
      <c r="A7" s="356" t="s">
        <v>176</v>
      </c>
      <c r="B7" s="357"/>
      <c r="C7" s="357"/>
      <c r="D7" s="357"/>
      <c r="E7" s="357"/>
      <c r="F7" s="357"/>
      <c r="G7" s="357"/>
      <c r="H7" s="357"/>
      <c r="I7" s="357"/>
      <c r="J7" s="36" t="s">
        <v>57</v>
      </c>
    </row>
    <row r="8" spans="1:10" s="14" customFormat="1" ht="24" thickTop="1">
      <c r="A8" s="354" t="s">
        <v>5</v>
      </c>
      <c r="B8" s="354" t="s">
        <v>0</v>
      </c>
      <c r="C8" s="354" t="s">
        <v>1</v>
      </c>
      <c r="D8" s="354" t="s">
        <v>2</v>
      </c>
      <c r="E8" s="358" t="s">
        <v>58</v>
      </c>
      <c r="F8" s="358"/>
      <c r="G8" s="358" t="s">
        <v>59</v>
      </c>
      <c r="H8" s="358"/>
      <c r="I8" s="15" t="s">
        <v>25</v>
      </c>
      <c r="J8" s="354" t="s">
        <v>4</v>
      </c>
    </row>
    <row r="9" spans="1:10" s="14" customFormat="1" ht="24" thickBot="1">
      <c r="A9" s="355"/>
      <c r="B9" s="355"/>
      <c r="C9" s="355"/>
      <c r="D9" s="355"/>
      <c r="E9" s="16" t="s">
        <v>19</v>
      </c>
      <c r="F9" s="16" t="s">
        <v>3</v>
      </c>
      <c r="G9" s="38" t="s">
        <v>19</v>
      </c>
      <c r="H9" s="63" t="s">
        <v>3</v>
      </c>
      <c r="I9" s="16" t="s">
        <v>21</v>
      </c>
      <c r="J9" s="355"/>
    </row>
    <row r="10" spans="1:10" s="140" customFormat="1" ht="24" thickTop="1">
      <c r="A10" s="132">
        <v>1</v>
      </c>
      <c r="B10" s="133" t="s">
        <v>177</v>
      </c>
      <c r="C10" s="134"/>
      <c r="D10" s="135"/>
      <c r="E10" s="136"/>
      <c r="F10" s="79"/>
      <c r="G10" s="58"/>
      <c r="H10" s="137"/>
      <c r="I10" s="138"/>
      <c r="J10" s="139"/>
    </row>
    <row r="11" spans="1:10" s="140" customFormat="1" ht="23.25">
      <c r="A11" s="141">
        <v>1.1</v>
      </c>
      <c r="B11" s="39" t="s">
        <v>178</v>
      </c>
      <c r="C11" s="134"/>
      <c r="D11" s="68"/>
      <c r="E11" s="79"/>
      <c r="F11" s="79"/>
      <c r="G11" s="138"/>
      <c r="H11" s="137"/>
      <c r="I11" s="138"/>
      <c r="J11" s="142"/>
    </row>
    <row r="12" spans="1:10" s="140" customFormat="1" ht="23.25">
      <c r="A12" s="143"/>
      <c r="B12" s="39" t="s">
        <v>179</v>
      </c>
      <c r="C12" s="134">
        <v>38</v>
      </c>
      <c r="D12" s="68" t="s">
        <v>12</v>
      </c>
      <c r="E12" s="79"/>
      <c r="F12" s="79">
        <f aca="true" t="shared" si="0" ref="F12:F99">ROUND((C12*E12),2)</f>
        <v>0</v>
      </c>
      <c r="G12" s="138">
        <v>8</v>
      </c>
      <c r="H12" s="137">
        <f>ROUND((C12*G12),2)</f>
        <v>304</v>
      </c>
      <c r="I12" s="138">
        <f>ROUND((F12+H12),2)</f>
        <v>304</v>
      </c>
      <c r="J12" s="144"/>
    </row>
    <row r="13" spans="1:10" s="140" customFormat="1" ht="23.25">
      <c r="A13" s="143"/>
      <c r="B13" s="39" t="s">
        <v>180</v>
      </c>
      <c r="C13" s="134">
        <v>0.5</v>
      </c>
      <c r="D13" s="68" t="s">
        <v>11</v>
      </c>
      <c r="E13" s="79"/>
      <c r="F13" s="79">
        <f t="shared" si="0"/>
        <v>0</v>
      </c>
      <c r="G13" s="138">
        <v>99</v>
      </c>
      <c r="H13" s="137">
        <f aca="true" t="shared" si="1" ref="H13:H99">ROUND((C13*G13),2)</f>
        <v>49.5</v>
      </c>
      <c r="I13" s="138">
        <f aca="true" t="shared" si="2" ref="I13:I99">ROUND((F13+H13),2)</f>
        <v>49.5</v>
      </c>
      <c r="J13" s="142"/>
    </row>
    <row r="14" spans="1:10" s="140" customFormat="1" ht="23.25">
      <c r="A14" s="143"/>
      <c r="B14" s="39" t="s">
        <v>181</v>
      </c>
      <c r="C14" s="134">
        <v>12.5</v>
      </c>
      <c r="D14" s="68" t="s">
        <v>11</v>
      </c>
      <c r="E14" s="79">
        <v>57</v>
      </c>
      <c r="F14" s="79">
        <f>ROUND((C14*E14),2)</f>
        <v>712.5</v>
      </c>
      <c r="G14" s="138">
        <v>99</v>
      </c>
      <c r="H14" s="137">
        <f>ROUND((C14*G14),2)</f>
        <v>1237.5</v>
      </c>
      <c r="I14" s="138">
        <f>ROUND((F14+H14),2)</f>
        <v>1950</v>
      </c>
      <c r="J14" s="142"/>
    </row>
    <row r="15" spans="1:10" s="140" customFormat="1" ht="23.25">
      <c r="A15" s="143"/>
      <c r="B15" s="39" t="s">
        <v>182</v>
      </c>
      <c r="C15" s="134">
        <v>0.75</v>
      </c>
      <c r="D15" s="68" t="s">
        <v>11</v>
      </c>
      <c r="E15" s="79">
        <v>336.45</v>
      </c>
      <c r="F15" s="79">
        <f t="shared" si="0"/>
        <v>252.34</v>
      </c>
      <c r="G15" s="138">
        <v>91</v>
      </c>
      <c r="H15" s="137">
        <f t="shared" si="1"/>
        <v>68.25</v>
      </c>
      <c r="I15" s="138">
        <f t="shared" si="2"/>
        <v>320.59</v>
      </c>
      <c r="J15" s="145"/>
    </row>
    <row r="16" spans="1:10" s="140" customFormat="1" ht="23.25">
      <c r="A16" s="143"/>
      <c r="B16" s="39" t="s">
        <v>183</v>
      </c>
      <c r="C16" s="134">
        <v>9.91</v>
      </c>
      <c r="D16" s="68" t="s">
        <v>11</v>
      </c>
      <c r="E16" s="79">
        <v>1650</v>
      </c>
      <c r="F16" s="79">
        <f t="shared" si="0"/>
        <v>16351.5</v>
      </c>
      <c r="G16" s="138">
        <v>498</v>
      </c>
      <c r="H16" s="137">
        <f t="shared" si="1"/>
        <v>4935.18</v>
      </c>
      <c r="I16" s="138">
        <f t="shared" si="2"/>
        <v>21286.68</v>
      </c>
      <c r="J16" s="145"/>
    </row>
    <row r="17" spans="1:10" s="140" customFormat="1" ht="23.25">
      <c r="A17" s="143"/>
      <c r="B17" s="39" t="s">
        <v>184</v>
      </c>
      <c r="C17" s="146"/>
      <c r="D17" s="68"/>
      <c r="E17" s="79"/>
      <c r="F17" s="79"/>
      <c r="G17" s="138"/>
      <c r="H17" s="137"/>
      <c r="I17" s="138"/>
      <c r="J17" s="147"/>
    </row>
    <row r="18" spans="1:10" s="140" customFormat="1" ht="23.25">
      <c r="A18" s="143"/>
      <c r="B18" s="39" t="s">
        <v>185</v>
      </c>
      <c r="C18" s="146">
        <v>0.553</v>
      </c>
      <c r="D18" s="68" t="s">
        <v>186</v>
      </c>
      <c r="E18" s="79">
        <v>12304</v>
      </c>
      <c r="F18" s="79">
        <f t="shared" si="0"/>
        <v>6804.11</v>
      </c>
      <c r="G18" s="138">
        <v>3.3</v>
      </c>
      <c r="H18" s="137">
        <f t="shared" si="1"/>
        <v>1.82</v>
      </c>
      <c r="I18" s="138">
        <f t="shared" si="2"/>
        <v>6805.93</v>
      </c>
      <c r="J18" s="179"/>
    </row>
    <row r="19" spans="1:10" s="140" customFormat="1" ht="23.25">
      <c r="A19" s="143"/>
      <c r="B19" s="39" t="s">
        <v>187</v>
      </c>
      <c r="C19" s="146">
        <v>0.174</v>
      </c>
      <c r="D19" s="68" t="s">
        <v>186</v>
      </c>
      <c r="E19" s="148">
        <v>19539</v>
      </c>
      <c r="F19" s="79">
        <f t="shared" si="0"/>
        <v>3399.79</v>
      </c>
      <c r="G19" s="138">
        <v>4.1</v>
      </c>
      <c r="H19" s="137">
        <f t="shared" si="1"/>
        <v>0.71</v>
      </c>
      <c r="I19" s="138">
        <f t="shared" si="2"/>
        <v>3400.5</v>
      </c>
      <c r="J19" s="179"/>
    </row>
    <row r="20" spans="1:10" s="140" customFormat="1" ht="23.25">
      <c r="A20" s="143"/>
      <c r="B20" s="39" t="s">
        <v>188</v>
      </c>
      <c r="C20" s="134">
        <v>21.81</v>
      </c>
      <c r="D20" s="68" t="s">
        <v>26</v>
      </c>
      <c r="E20" s="79">
        <v>52.34</v>
      </c>
      <c r="F20" s="79">
        <f t="shared" si="0"/>
        <v>1141.54</v>
      </c>
      <c r="G20" s="138"/>
      <c r="H20" s="137">
        <f t="shared" si="1"/>
        <v>0</v>
      </c>
      <c r="I20" s="138">
        <f t="shared" si="2"/>
        <v>1141.54</v>
      </c>
      <c r="J20" s="179"/>
    </row>
    <row r="21" spans="1:10" s="140" customFormat="1" ht="23.25">
      <c r="A21" s="143">
        <v>1.2</v>
      </c>
      <c r="B21" s="149" t="s">
        <v>189</v>
      </c>
      <c r="C21" s="150"/>
      <c r="D21" s="151"/>
      <c r="E21" s="152"/>
      <c r="F21" s="79">
        <f t="shared" si="0"/>
        <v>0</v>
      </c>
      <c r="G21" s="58"/>
      <c r="H21" s="137">
        <f t="shared" si="1"/>
        <v>0</v>
      </c>
      <c r="I21" s="138">
        <f t="shared" si="2"/>
        <v>0</v>
      </c>
      <c r="J21" s="179"/>
    </row>
    <row r="22" spans="1:10" s="140" customFormat="1" ht="23.25">
      <c r="A22" s="143"/>
      <c r="B22" s="149" t="s">
        <v>190</v>
      </c>
      <c r="C22" s="134">
        <v>62.4</v>
      </c>
      <c r="D22" s="138" t="s">
        <v>12</v>
      </c>
      <c r="E22" s="137">
        <v>290</v>
      </c>
      <c r="F22" s="79">
        <f t="shared" si="0"/>
        <v>18096</v>
      </c>
      <c r="G22" s="138">
        <v>133</v>
      </c>
      <c r="H22" s="137">
        <f t="shared" si="1"/>
        <v>8299.2</v>
      </c>
      <c r="I22" s="138">
        <f t="shared" si="2"/>
        <v>26395.2</v>
      </c>
      <c r="J22" s="153"/>
    </row>
    <row r="23" spans="1:10" s="140" customFormat="1" ht="23.25">
      <c r="A23" s="143">
        <v>1.3</v>
      </c>
      <c r="B23" s="149" t="s">
        <v>191</v>
      </c>
      <c r="C23" s="134"/>
      <c r="D23" s="138"/>
      <c r="E23" s="137"/>
      <c r="F23" s="79">
        <f t="shared" si="0"/>
        <v>0</v>
      </c>
      <c r="G23" s="138"/>
      <c r="H23" s="137">
        <f t="shared" si="1"/>
        <v>0</v>
      </c>
      <c r="I23" s="138">
        <f t="shared" si="2"/>
        <v>0</v>
      </c>
      <c r="J23" s="153"/>
    </row>
    <row r="24" spans="1:10" s="140" customFormat="1" ht="24">
      <c r="A24" s="143"/>
      <c r="B24" s="154" t="s">
        <v>192</v>
      </c>
      <c r="C24" s="134">
        <v>110.5</v>
      </c>
      <c r="D24" s="138" t="s">
        <v>12</v>
      </c>
      <c r="E24" s="137">
        <v>128</v>
      </c>
      <c r="F24" s="79">
        <f t="shared" si="0"/>
        <v>14144</v>
      </c>
      <c r="G24" s="138">
        <v>70</v>
      </c>
      <c r="H24" s="137">
        <f t="shared" si="1"/>
        <v>7735</v>
      </c>
      <c r="I24" s="138">
        <f t="shared" si="2"/>
        <v>21879</v>
      </c>
      <c r="J24" s="147"/>
    </row>
    <row r="25" spans="1:10" s="140" customFormat="1" ht="23.25">
      <c r="A25" s="143"/>
      <c r="B25" s="149" t="s">
        <v>193</v>
      </c>
      <c r="C25" s="134">
        <v>11.4</v>
      </c>
      <c r="D25" s="138" t="s">
        <v>85</v>
      </c>
      <c r="E25" s="137">
        <v>80</v>
      </c>
      <c r="F25" s="79">
        <f t="shared" si="0"/>
        <v>912</v>
      </c>
      <c r="G25" s="155">
        <v>50</v>
      </c>
      <c r="H25" s="137">
        <f t="shared" si="1"/>
        <v>570</v>
      </c>
      <c r="I25" s="138">
        <f t="shared" si="2"/>
        <v>1482</v>
      </c>
      <c r="J25" s="147"/>
    </row>
    <row r="26" spans="1:10" s="140" customFormat="1" ht="23.25">
      <c r="A26" s="143"/>
      <c r="B26" s="149" t="s">
        <v>194</v>
      </c>
      <c r="C26" s="134">
        <v>20</v>
      </c>
      <c r="D26" s="138" t="s">
        <v>85</v>
      </c>
      <c r="E26" s="137">
        <v>90</v>
      </c>
      <c r="F26" s="79"/>
      <c r="G26" s="155">
        <v>50</v>
      </c>
      <c r="H26" s="137">
        <f t="shared" si="1"/>
        <v>1000</v>
      </c>
      <c r="I26" s="138"/>
      <c r="J26" s="147"/>
    </row>
    <row r="27" spans="1:10" s="140" customFormat="1" ht="19.5">
      <c r="A27" s="143"/>
      <c r="B27" s="149" t="s">
        <v>195</v>
      </c>
      <c r="C27" s="134">
        <v>114</v>
      </c>
      <c r="D27" s="138" t="s">
        <v>85</v>
      </c>
      <c r="E27" s="137">
        <v>67.4</v>
      </c>
      <c r="F27" s="79">
        <f t="shared" si="0"/>
        <v>7683.6</v>
      </c>
      <c r="G27" s="156"/>
      <c r="H27" s="137">
        <f t="shared" si="1"/>
        <v>0</v>
      </c>
      <c r="I27" s="138">
        <f t="shared" si="2"/>
        <v>7683.6</v>
      </c>
      <c r="J27" s="147"/>
    </row>
    <row r="28" spans="1:10" s="140" customFormat="1" ht="19.5">
      <c r="A28" s="183"/>
      <c r="B28" s="184" t="s">
        <v>196</v>
      </c>
      <c r="C28" s="185">
        <v>75.8</v>
      </c>
      <c r="D28" s="186" t="s">
        <v>85</v>
      </c>
      <c r="E28" s="187">
        <v>82.8</v>
      </c>
      <c r="F28" s="188">
        <f t="shared" si="0"/>
        <v>6276.24</v>
      </c>
      <c r="G28" s="189"/>
      <c r="H28" s="187">
        <f t="shared" si="1"/>
        <v>0</v>
      </c>
      <c r="I28" s="186">
        <f t="shared" si="2"/>
        <v>6276.24</v>
      </c>
      <c r="J28" s="190"/>
    </row>
    <row r="29" spans="1:10" s="14" customFormat="1" ht="19.5">
      <c r="A29" s="359" t="s">
        <v>53</v>
      </c>
      <c r="B29" s="360"/>
      <c r="C29" s="360"/>
      <c r="D29" s="360"/>
      <c r="E29" s="360"/>
      <c r="F29" s="360"/>
      <c r="G29" s="360"/>
      <c r="H29" s="360"/>
      <c r="I29" s="360"/>
      <c r="J29" s="361"/>
    </row>
    <row r="30" spans="1:10" s="14" customFormat="1" ht="19.5">
      <c r="A30" s="362" t="s">
        <v>173</v>
      </c>
      <c r="B30" s="363"/>
      <c r="C30" s="363"/>
      <c r="D30" s="363"/>
      <c r="E30" s="363"/>
      <c r="F30" s="363"/>
      <c r="G30" s="363"/>
      <c r="H30" s="363"/>
      <c r="I30" s="363"/>
      <c r="J30" s="33" t="s">
        <v>55</v>
      </c>
    </row>
    <row r="31" spans="1:10" s="14" customFormat="1" ht="19.5">
      <c r="A31" s="352" t="s">
        <v>174</v>
      </c>
      <c r="B31" s="353"/>
      <c r="C31" s="353"/>
      <c r="D31" s="353"/>
      <c r="E31" s="353"/>
      <c r="F31" s="353"/>
      <c r="G31" s="353"/>
      <c r="H31" s="353"/>
      <c r="I31" s="353"/>
      <c r="J31" s="33" t="s">
        <v>256</v>
      </c>
    </row>
    <row r="32" spans="1:10" s="14" customFormat="1" ht="19.5">
      <c r="A32" s="352" t="str">
        <f>A4</f>
        <v>ชื่อโครงการ      : ก่อสร้างอาคารพร้อมระบบผลิตน้ำดื่มกำลังการผลิต ขนาด 250 ลิตร/ชั่วโมง</v>
      </c>
      <c r="B32" s="353"/>
      <c r="C32" s="353"/>
      <c r="D32" s="353"/>
      <c r="E32" s="353"/>
      <c r="F32" s="353"/>
      <c r="G32" s="353"/>
      <c r="H32" s="353"/>
      <c r="I32" s="353"/>
      <c r="J32" s="34"/>
    </row>
    <row r="33" spans="1:10" s="14" customFormat="1" ht="19.5">
      <c r="A33" s="352" t="s">
        <v>175</v>
      </c>
      <c r="B33" s="353"/>
      <c r="C33" s="353"/>
      <c r="D33" s="353"/>
      <c r="E33" s="353"/>
      <c r="F33" s="353"/>
      <c r="G33" s="353"/>
      <c r="H33" s="353"/>
      <c r="I33" s="353"/>
      <c r="J33" s="35"/>
    </row>
    <row r="34" spans="1:10" s="14" customFormat="1" ht="19.5">
      <c r="A34" s="352" t="s">
        <v>248</v>
      </c>
      <c r="B34" s="353"/>
      <c r="C34" s="353"/>
      <c r="D34" s="353"/>
      <c r="E34" s="353"/>
      <c r="F34" s="353"/>
      <c r="G34" s="353"/>
      <c r="H34" s="353"/>
      <c r="I34" s="353"/>
      <c r="J34" s="35"/>
    </row>
    <row r="35" spans="1:10" s="14" customFormat="1" ht="20.25" thickBot="1">
      <c r="A35" s="356" t="s">
        <v>176</v>
      </c>
      <c r="B35" s="357"/>
      <c r="C35" s="357"/>
      <c r="D35" s="357"/>
      <c r="E35" s="357"/>
      <c r="F35" s="357"/>
      <c r="G35" s="357"/>
      <c r="H35" s="357"/>
      <c r="I35" s="357"/>
      <c r="J35" s="36" t="s">
        <v>57</v>
      </c>
    </row>
    <row r="36" spans="1:10" s="14" customFormat="1" ht="20.25" thickTop="1">
      <c r="A36" s="354" t="s">
        <v>5</v>
      </c>
      <c r="B36" s="354" t="s">
        <v>0</v>
      </c>
      <c r="C36" s="354" t="s">
        <v>1</v>
      </c>
      <c r="D36" s="354" t="s">
        <v>2</v>
      </c>
      <c r="E36" s="358" t="s">
        <v>58</v>
      </c>
      <c r="F36" s="358"/>
      <c r="G36" s="358" t="s">
        <v>59</v>
      </c>
      <c r="H36" s="358"/>
      <c r="I36" s="15" t="s">
        <v>25</v>
      </c>
      <c r="J36" s="354" t="s">
        <v>4</v>
      </c>
    </row>
    <row r="37" spans="1:10" s="14" customFormat="1" ht="20.25" thickBot="1">
      <c r="A37" s="355"/>
      <c r="B37" s="355"/>
      <c r="C37" s="355"/>
      <c r="D37" s="355"/>
      <c r="E37" s="16" t="s">
        <v>19</v>
      </c>
      <c r="F37" s="16" t="s">
        <v>3</v>
      </c>
      <c r="G37" s="38" t="s">
        <v>19</v>
      </c>
      <c r="H37" s="63" t="s">
        <v>3</v>
      </c>
      <c r="I37" s="16" t="s">
        <v>21</v>
      </c>
      <c r="J37" s="355"/>
    </row>
    <row r="38" spans="1:10" s="140" customFormat="1" ht="20.25" thickTop="1">
      <c r="A38" s="143"/>
      <c r="B38" s="149" t="s">
        <v>197</v>
      </c>
      <c r="C38" s="134">
        <v>35.2</v>
      </c>
      <c r="D38" s="138" t="s">
        <v>85</v>
      </c>
      <c r="E38" s="137">
        <v>55</v>
      </c>
      <c r="F38" s="79">
        <f t="shared" si="0"/>
        <v>1936</v>
      </c>
      <c r="G38" s="156"/>
      <c r="H38" s="137">
        <f t="shared" si="1"/>
        <v>0</v>
      </c>
      <c r="I38" s="138">
        <f t="shared" si="2"/>
        <v>1936</v>
      </c>
      <c r="J38" s="147"/>
    </row>
    <row r="39" spans="1:10" s="140" customFormat="1" ht="19.5">
      <c r="A39" s="143"/>
      <c r="B39" s="149" t="s">
        <v>198</v>
      </c>
      <c r="C39" s="134">
        <v>87</v>
      </c>
      <c r="D39" s="138" t="s">
        <v>12</v>
      </c>
      <c r="E39" s="137">
        <v>30</v>
      </c>
      <c r="F39" s="79">
        <f t="shared" si="0"/>
        <v>2610</v>
      </c>
      <c r="G39" s="156">
        <v>35</v>
      </c>
      <c r="H39" s="137">
        <f t="shared" si="1"/>
        <v>3045</v>
      </c>
      <c r="I39" s="138">
        <f t="shared" si="2"/>
        <v>5655</v>
      </c>
      <c r="J39" s="147"/>
    </row>
    <row r="40" spans="1:10" s="140" customFormat="1" ht="19.5">
      <c r="A40" s="143"/>
      <c r="B40" s="149" t="s">
        <v>199</v>
      </c>
      <c r="C40" s="134">
        <v>10</v>
      </c>
      <c r="D40" s="138" t="s">
        <v>200</v>
      </c>
      <c r="E40" s="137">
        <v>35</v>
      </c>
      <c r="F40" s="79">
        <f t="shared" si="0"/>
        <v>350</v>
      </c>
      <c r="G40" s="138"/>
      <c r="H40" s="137">
        <f t="shared" si="1"/>
        <v>0</v>
      </c>
      <c r="I40" s="138">
        <f t="shared" si="2"/>
        <v>350</v>
      </c>
      <c r="J40" s="147"/>
    </row>
    <row r="41" spans="1:10" s="140" customFormat="1" ht="19.5">
      <c r="A41" s="143"/>
      <c r="B41" s="149" t="s">
        <v>201</v>
      </c>
      <c r="C41" s="134">
        <v>789</v>
      </c>
      <c r="D41" s="138" t="s">
        <v>26</v>
      </c>
      <c r="E41" s="137"/>
      <c r="F41" s="79">
        <f t="shared" si="0"/>
        <v>0</v>
      </c>
      <c r="G41" s="155">
        <v>12</v>
      </c>
      <c r="H41" s="137">
        <f t="shared" si="1"/>
        <v>9468</v>
      </c>
      <c r="I41" s="138">
        <f t="shared" si="2"/>
        <v>9468</v>
      </c>
      <c r="J41" s="153"/>
    </row>
    <row r="42" spans="1:10" s="140" customFormat="1" ht="19.5">
      <c r="A42" s="143">
        <v>1.4</v>
      </c>
      <c r="B42" s="149" t="s">
        <v>202</v>
      </c>
      <c r="C42" s="134"/>
      <c r="D42" s="157"/>
      <c r="E42" s="79"/>
      <c r="F42" s="79">
        <f t="shared" si="0"/>
        <v>0</v>
      </c>
      <c r="G42" s="137"/>
      <c r="H42" s="137">
        <f t="shared" si="1"/>
        <v>0</v>
      </c>
      <c r="I42" s="138">
        <f t="shared" si="2"/>
        <v>0</v>
      </c>
      <c r="J42" s="153"/>
    </row>
    <row r="43" spans="1:10" s="140" customFormat="1" ht="19.5">
      <c r="A43" s="143"/>
      <c r="B43" s="149" t="s">
        <v>203</v>
      </c>
      <c r="C43" s="134">
        <v>53</v>
      </c>
      <c r="D43" s="138" t="s">
        <v>12</v>
      </c>
      <c r="E43" s="137">
        <v>0</v>
      </c>
      <c r="F43" s="79">
        <f t="shared" si="0"/>
        <v>0</v>
      </c>
      <c r="G43" s="138">
        <v>40</v>
      </c>
      <c r="H43" s="137">
        <f t="shared" si="1"/>
        <v>2120</v>
      </c>
      <c r="I43" s="138">
        <f t="shared" si="2"/>
        <v>2120</v>
      </c>
      <c r="J43" s="153"/>
    </row>
    <row r="44" spans="1:10" s="140" customFormat="1" ht="19.5">
      <c r="A44" s="143">
        <v>1.5</v>
      </c>
      <c r="B44" s="149" t="s">
        <v>204</v>
      </c>
      <c r="C44" s="134"/>
      <c r="D44" s="138"/>
      <c r="E44" s="137"/>
      <c r="F44" s="79">
        <f t="shared" si="0"/>
        <v>0</v>
      </c>
      <c r="G44" s="138"/>
      <c r="H44" s="137">
        <f t="shared" si="1"/>
        <v>0</v>
      </c>
      <c r="I44" s="138">
        <f t="shared" si="2"/>
        <v>0</v>
      </c>
      <c r="J44" s="153"/>
    </row>
    <row r="45" spans="1:10" s="140" customFormat="1" ht="19.5">
      <c r="A45" s="143"/>
      <c r="B45" s="149" t="s">
        <v>205</v>
      </c>
      <c r="C45" s="134">
        <v>54.5</v>
      </c>
      <c r="D45" s="138" t="s">
        <v>12</v>
      </c>
      <c r="E45" s="137">
        <v>125</v>
      </c>
      <c r="F45" s="79">
        <f t="shared" si="0"/>
        <v>6812.5</v>
      </c>
      <c r="G45" s="138">
        <v>80</v>
      </c>
      <c r="H45" s="137">
        <f t="shared" si="1"/>
        <v>4360</v>
      </c>
      <c r="I45" s="138">
        <f t="shared" si="2"/>
        <v>11172.5</v>
      </c>
      <c r="J45" s="153"/>
    </row>
    <row r="46" spans="1:10" s="140" customFormat="1" ht="19.5">
      <c r="A46" s="143"/>
      <c r="B46" s="149" t="s">
        <v>206</v>
      </c>
      <c r="C46" s="134">
        <v>109</v>
      </c>
      <c r="D46" s="138" t="s">
        <v>12</v>
      </c>
      <c r="E46" s="137">
        <v>53</v>
      </c>
      <c r="F46" s="79">
        <f t="shared" si="0"/>
        <v>5777</v>
      </c>
      <c r="G46" s="138">
        <v>82</v>
      </c>
      <c r="H46" s="137">
        <f t="shared" si="1"/>
        <v>8938</v>
      </c>
      <c r="I46" s="138">
        <f t="shared" si="2"/>
        <v>14715</v>
      </c>
      <c r="J46" s="153"/>
    </row>
    <row r="47" spans="1:10" s="140" customFormat="1" ht="19.5">
      <c r="A47" s="143">
        <v>1.6</v>
      </c>
      <c r="B47" s="149" t="s">
        <v>207</v>
      </c>
      <c r="C47" s="134"/>
      <c r="D47" s="138"/>
      <c r="E47" s="137"/>
      <c r="F47" s="79">
        <f t="shared" si="0"/>
        <v>0</v>
      </c>
      <c r="G47" s="138"/>
      <c r="H47" s="137">
        <f t="shared" si="1"/>
        <v>0</v>
      </c>
      <c r="I47" s="138">
        <f t="shared" si="2"/>
        <v>0</v>
      </c>
      <c r="J47" s="153"/>
    </row>
    <row r="48" spans="1:10" s="140" customFormat="1" ht="19.5">
      <c r="A48" s="143"/>
      <c r="B48" s="149" t="s">
        <v>208</v>
      </c>
      <c r="C48" s="134">
        <v>109</v>
      </c>
      <c r="D48" s="138" t="s">
        <v>12</v>
      </c>
      <c r="E48" s="137">
        <v>30</v>
      </c>
      <c r="F48" s="79">
        <f t="shared" si="0"/>
        <v>3270</v>
      </c>
      <c r="G48" s="138">
        <v>35</v>
      </c>
      <c r="H48" s="137">
        <f t="shared" si="1"/>
        <v>3815</v>
      </c>
      <c r="I48" s="138">
        <f t="shared" si="2"/>
        <v>7085</v>
      </c>
      <c r="J48" s="153"/>
    </row>
    <row r="49" spans="1:10" s="140" customFormat="1" ht="19.5">
      <c r="A49" s="143">
        <v>1.7</v>
      </c>
      <c r="B49" s="149" t="s">
        <v>209</v>
      </c>
      <c r="C49" s="134"/>
      <c r="D49" s="138"/>
      <c r="E49" s="137"/>
      <c r="F49" s="79">
        <f t="shared" si="0"/>
        <v>0</v>
      </c>
      <c r="G49" s="138"/>
      <c r="H49" s="137">
        <f t="shared" si="1"/>
        <v>0</v>
      </c>
      <c r="I49" s="138">
        <f t="shared" si="2"/>
        <v>0</v>
      </c>
      <c r="J49" s="179"/>
    </row>
    <row r="50" spans="1:10" s="140" customFormat="1" ht="19.5">
      <c r="A50" s="143"/>
      <c r="B50" s="149" t="s">
        <v>210</v>
      </c>
      <c r="C50" s="134">
        <v>1</v>
      </c>
      <c r="D50" s="138" t="s">
        <v>211</v>
      </c>
      <c r="E50" s="137">
        <v>12500</v>
      </c>
      <c r="F50" s="79">
        <f t="shared" si="0"/>
        <v>12500</v>
      </c>
      <c r="G50" s="138"/>
      <c r="H50" s="137">
        <f t="shared" si="1"/>
        <v>0</v>
      </c>
      <c r="I50" s="138">
        <f t="shared" si="2"/>
        <v>12500</v>
      </c>
      <c r="J50" s="153"/>
    </row>
    <row r="51" spans="1:10" s="140" customFormat="1" ht="19.5">
      <c r="A51" s="143"/>
      <c r="B51" s="149" t="s">
        <v>212</v>
      </c>
      <c r="C51" s="134">
        <v>1</v>
      </c>
      <c r="D51" s="138" t="s">
        <v>211</v>
      </c>
      <c r="E51" s="137">
        <v>5350</v>
      </c>
      <c r="F51" s="79">
        <f t="shared" si="0"/>
        <v>5350</v>
      </c>
      <c r="G51" s="138"/>
      <c r="H51" s="137">
        <f t="shared" si="1"/>
        <v>0</v>
      </c>
      <c r="I51" s="138">
        <f t="shared" si="2"/>
        <v>5350</v>
      </c>
      <c r="J51" s="153"/>
    </row>
    <row r="52" spans="1:10" s="140" customFormat="1" ht="19.5">
      <c r="A52" s="143"/>
      <c r="B52" s="149" t="s">
        <v>213</v>
      </c>
      <c r="C52" s="134">
        <v>6</v>
      </c>
      <c r="D52" s="138" t="s">
        <v>211</v>
      </c>
      <c r="E52" s="137">
        <v>4200</v>
      </c>
      <c r="F52" s="79">
        <f t="shared" si="0"/>
        <v>25200</v>
      </c>
      <c r="G52" s="138"/>
      <c r="H52" s="137">
        <f t="shared" si="1"/>
        <v>0</v>
      </c>
      <c r="I52" s="138">
        <f t="shared" si="2"/>
        <v>25200</v>
      </c>
      <c r="J52" s="153"/>
    </row>
    <row r="53" spans="1:10" s="140" customFormat="1" ht="19.5">
      <c r="A53" s="143">
        <v>1.8</v>
      </c>
      <c r="B53" s="149" t="s">
        <v>214</v>
      </c>
      <c r="C53" s="134"/>
      <c r="D53" s="138"/>
      <c r="E53" s="137"/>
      <c r="F53" s="79"/>
      <c r="G53" s="138"/>
      <c r="H53" s="137"/>
      <c r="I53" s="138">
        <f t="shared" si="2"/>
        <v>0</v>
      </c>
      <c r="J53" s="153"/>
    </row>
    <row r="54" spans="1:10" s="140" customFormat="1" ht="19.5">
      <c r="A54" s="143"/>
      <c r="B54" s="39" t="s">
        <v>263</v>
      </c>
      <c r="C54" s="134">
        <v>3</v>
      </c>
      <c r="D54" s="138" t="s">
        <v>211</v>
      </c>
      <c r="E54" s="137">
        <v>505</v>
      </c>
      <c r="F54" s="79">
        <f t="shared" si="0"/>
        <v>1515</v>
      </c>
      <c r="G54" s="138">
        <v>195</v>
      </c>
      <c r="H54" s="137">
        <f t="shared" si="1"/>
        <v>585</v>
      </c>
      <c r="I54" s="138">
        <f t="shared" si="2"/>
        <v>2100</v>
      </c>
      <c r="J54" s="153"/>
    </row>
    <row r="55" spans="1:10" s="140" customFormat="1" ht="19.5">
      <c r="A55" s="143"/>
      <c r="B55" s="39" t="s">
        <v>215</v>
      </c>
      <c r="C55" s="134">
        <v>2</v>
      </c>
      <c r="D55" s="138" t="s">
        <v>211</v>
      </c>
      <c r="E55" s="137">
        <v>205</v>
      </c>
      <c r="F55" s="79">
        <f t="shared" si="0"/>
        <v>410</v>
      </c>
      <c r="G55" s="138">
        <v>160</v>
      </c>
      <c r="H55" s="137">
        <f t="shared" si="1"/>
        <v>320</v>
      </c>
      <c r="I55" s="138">
        <f t="shared" si="2"/>
        <v>730</v>
      </c>
      <c r="J55" s="153"/>
    </row>
    <row r="56" spans="1:10" s="140" customFormat="1" ht="19.5">
      <c r="A56" s="183"/>
      <c r="B56" s="191" t="s">
        <v>216</v>
      </c>
      <c r="C56" s="185">
        <v>2</v>
      </c>
      <c r="D56" s="186" t="s">
        <v>211</v>
      </c>
      <c r="E56" s="187">
        <v>245</v>
      </c>
      <c r="F56" s="188">
        <f t="shared" si="0"/>
        <v>490</v>
      </c>
      <c r="G56" s="186">
        <v>170</v>
      </c>
      <c r="H56" s="187">
        <f t="shared" si="1"/>
        <v>340</v>
      </c>
      <c r="I56" s="186">
        <f t="shared" si="2"/>
        <v>830</v>
      </c>
      <c r="J56" s="192"/>
    </row>
    <row r="57" spans="1:10" s="14" customFormat="1" ht="19.5">
      <c r="A57" s="359" t="s">
        <v>53</v>
      </c>
      <c r="B57" s="360"/>
      <c r="C57" s="360"/>
      <c r="D57" s="360"/>
      <c r="E57" s="360"/>
      <c r="F57" s="360"/>
      <c r="G57" s="360"/>
      <c r="H57" s="360"/>
      <c r="I57" s="360"/>
      <c r="J57" s="361"/>
    </row>
    <row r="58" spans="1:10" s="14" customFormat="1" ht="19.5">
      <c r="A58" s="362" t="s">
        <v>173</v>
      </c>
      <c r="B58" s="363"/>
      <c r="C58" s="363"/>
      <c r="D58" s="363"/>
      <c r="E58" s="363"/>
      <c r="F58" s="363"/>
      <c r="G58" s="363"/>
      <c r="H58" s="363"/>
      <c r="I58" s="363"/>
      <c r="J58" s="33" t="s">
        <v>55</v>
      </c>
    </row>
    <row r="59" spans="1:10" s="14" customFormat="1" ht="19.5">
      <c r="A59" s="352" t="s">
        <v>174</v>
      </c>
      <c r="B59" s="353"/>
      <c r="C59" s="353"/>
      <c r="D59" s="353"/>
      <c r="E59" s="353"/>
      <c r="F59" s="353"/>
      <c r="G59" s="353"/>
      <c r="H59" s="353"/>
      <c r="I59" s="353"/>
      <c r="J59" s="33" t="s">
        <v>255</v>
      </c>
    </row>
    <row r="60" spans="1:10" s="14" customFormat="1" ht="19.5">
      <c r="A60" s="352" t="str">
        <f>A4</f>
        <v>ชื่อโครงการ      : ก่อสร้างอาคารพร้อมระบบผลิตน้ำดื่มกำลังการผลิต ขนาด 250 ลิตร/ชั่วโมง</v>
      </c>
      <c r="B60" s="353"/>
      <c r="C60" s="353"/>
      <c r="D60" s="353"/>
      <c r="E60" s="353"/>
      <c r="F60" s="353"/>
      <c r="G60" s="353"/>
      <c r="H60" s="353"/>
      <c r="I60" s="353"/>
      <c r="J60" s="34"/>
    </row>
    <row r="61" spans="1:10" s="14" customFormat="1" ht="19.5">
      <c r="A61" s="352" t="s">
        <v>175</v>
      </c>
      <c r="B61" s="353"/>
      <c r="C61" s="353"/>
      <c r="D61" s="353"/>
      <c r="E61" s="353"/>
      <c r="F61" s="353"/>
      <c r="G61" s="353"/>
      <c r="H61" s="353"/>
      <c r="I61" s="353"/>
      <c r="J61" s="35"/>
    </row>
    <row r="62" spans="1:10" s="14" customFormat="1" ht="19.5">
      <c r="A62" s="352" t="s">
        <v>248</v>
      </c>
      <c r="B62" s="353"/>
      <c r="C62" s="353"/>
      <c r="D62" s="353"/>
      <c r="E62" s="353"/>
      <c r="F62" s="353"/>
      <c r="G62" s="353"/>
      <c r="H62" s="353"/>
      <c r="I62" s="353"/>
      <c r="J62" s="35"/>
    </row>
    <row r="63" spans="1:10" s="14" customFormat="1" ht="20.25" thickBot="1">
      <c r="A63" s="356" t="s">
        <v>176</v>
      </c>
      <c r="B63" s="357"/>
      <c r="C63" s="357"/>
      <c r="D63" s="357"/>
      <c r="E63" s="357"/>
      <c r="F63" s="357"/>
      <c r="G63" s="357"/>
      <c r="H63" s="357"/>
      <c r="I63" s="357"/>
      <c r="J63" s="36" t="s">
        <v>57</v>
      </c>
    </row>
    <row r="64" spans="1:10" s="14" customFormat="1" ht="20.25" thickTop="1">
      <c r="A64" s="354" t="s">
        <v>5</v>
      </c>
      <c r="B64" s="354" t="s">
        <v>0</v>
      </c>
      <c r="C64" s="354" t="s">
        <v>1</v>
      </c>
      <c r="D64" s="354" t="s">
        <v>2</v>
      </c>
      <c r="E64" s="358" t="s">
        <v>58</v>
      </c>
      <c r="F64" s="358"/>
      <c r="G64" s="358" t="s">
        <v>59</v>
      </c>
      <c r="H64" s="358"/>
      <c r="I64" s="15" t="s">
        <v>25</v>
      </c>
      <c r="J64" s="354" t="s">
        <v>4</v>
      </c>
    </row>
    <row r="65" spans="1:10" s="14" customFormat="1" ht="20.25" thickBot="1">
      <c r="A65" s="355"/>
      <c r="B65" s="355"/>
      <c r="C65" s="355"/>
      <c r="D65" s="355"/>
      <c r="E65" s="16" t="s">
        <v>19</v>
      </c>
      <c r="F65" s="16" t="s">
        <v>3</v>
      </c>
      <c r="G65" s="38" t="s">
        <v>19</v>
      </c>
      <c r="H65" s="63" t="s">
        <v>3</v>
      </c>
      <c r="I65" s="16" t="s">
        <v>21</v>
      </c>
      <c r="J65" s="355"/>
    </row>
    <row r="66" spans="1:10" s="140" customFormat="1" ht="20.25" thickTop="1">
      <c r="A66" s="143"/>
      <c r="B66" s="39" t="s">
        <v>217</v>
      </c>
      <c r="C66" s="134">
        <v>1</v>
      </c>
      <c r="D66" s="138" t="s">
        <v>211</v>
      </c>
      <c r="E66" s="158">
        <v>2200</v>
      </c>
      <c r="F66" s="79">
        <f t="shared" si="0"/>
        <v>2200</v>
      </c>
      <c r="G66" s="58">
        <v>400</v>
      </c>
      <c r="H66" s="137">
        <f t="shared" si="1"/>
        <v>400</v>
      </c>
      <c r="I66" s="138">
        <f t="shared" si="2"/>
        <v>2600</v>
      </c>
      <c r="J66" s="153"/>
    </row>
    <row r="67" spans="1:10" s="140" customFormat="1" ht="19.5">
      <c r="A67" s="132"/>
      <c r="B67" s="39" t="s">
        <v>218</v>
      </c>
      <c r="C67" s="134">
        <v>80</v>
      </c>
      <c r="D67" s="157" t="s">
        <v>85</v>
      </c>
      <c r="E67" s="136">
        <v>56</v>
      </c>
      <c r="F67" s="79">
        <f>ROUND((C67*E67),2)</f>
        <v>4480</v>
      </c>
      <c r="G67" s="58">
        <v>19</v>
      </c>
      <c r="H67" s="137">
        <f>ROUND((C67*G67),2)</f>
        <v>1520</v>
      </c>
      <c r="I67" s="138">
        <f>ROUND((F67+H67),2)</f>
        <v>6000</v>
      </c>
      <c r="J67" s="153"/>
    </row>
    <row r="68" spans="1:10" s="140" customFormat="1" ht="19.5">
      <c r="A68" s="132"/>
      <c r="B68" s="39" t="s">
        <v>219</v>
      </c>
      <c r="C68" s="134">
        <v>1</v>
      </c>
      <c r="D68" s="157" t="s">
        <v>211</v>
      </c>
      <c r="E68" s="136">
        <v>500</v>
      </c>
      <c r="F68" s="79">
        <f>ROUND((C68*E68),2)</f>
        <v>500</v>
      </c>
      <c r="G68" s="58"/>
      <c r="H68" s="137">
        <f>ROUND((C68*G68),2)</f>
        <v>0</v>
      </c>
      <c r="I68" s="138">
        <f>ROUND((F68+H68),2)</f>
        <v>500</v>
      </c>
      <c r="J68" s="153"/>
    </row>
    <row r="69" spans="1:10" s="140" customFormat="1" ht="19.5">
      <c r="A69" s="143">
        <v>1.9</v>
      </c>
      <c r="B69" s="149" t="s">
        <v>220</v>
      </c>
      <c r="C69" s="134"/>
      <c r="D69" s="157"/>
      <c r="E69" s="136"/>
      <c r="F69" s="79">
        <f t="shared" si="0"/>
        <v>0</v>
      </c>
      <c r="G69" s="58"/>
      <c r="H69" s="137">
        <f aca="true" t="shared" si="3" ref="H69:H79">ROUND((C69*G69),2)</f>
        <v>0</v>
      </c>
      <c r="I69" s="138">
        <f aca="true" t="shared" si="4" ref="I69:I77">ROUND((F69+H69),2)</f>
        <v>0</v>
      </c>
      <c r="J69" s="153"/>
    </row>
    <row r="70" spans="1:10" s="140" customFormat="1" ht="19.5">
      <c r="A70" s="132"/>
      <c r="B70" s="39" t="s">
        <v>221</v>
      </c>
      <c r="C70" s="134">
        <v>1</v>
      </c>
      <c r="D70" s="157" t="s">
        <v>211</v>
      </c>
      <c r="E70" s="136">
        <v>750</v>
      </c>
      <c r="F70" s="79">
        <f t="shared" si="0"/>
        <v>750</v>
      </c>
      <c r="G70" s="58">
        <v>0</v>
      </c>
      <c r="H70" s="137">
        <f t="shared" si="3"/>
        <v>0</v>
      </c>
      <c r="I70" s="138">
        <f t="shared" si="4"/>
        <v>750</v>
      </c>
      <c r="J70" s="153"/>
    </row>
    <row r="71" spans="1:10" s="140" customFormat="1" ht="19.5">
      <c r="A71" s="132"/>
      <c r="B71" s="39" t="s">
        <v>222</v>
      </c>
      <c r="C71" s="134">
        <v>4</v>
      </c>
      <c r="D71" s="157" t="s">
        <v>27</v>
      </c>
      <c r="E71" s="136">
        <v>210</v>
      </c>
      <c r="F71" s="79">
        <f t="shared" si="0"/>
        <v>840</v>
      </c>
      <c r="G71" s="58"/>
      <c r="H71" s="137">
        <f t="shared" si="3"/>
        <v>0</v>
      </c>
      <c r="I71" s="138">
        <f t="shared" si="4"/>
        <v>840</v>
      </c>
      <c r="J71" s="153"/>
    </row>
    <row r="72" spans="1:10" s="140" customFormat="1" ht="19.5">
      <c r="A72" s="132"/>
      <c r="B72" s="39" t="s">
        <v>223</v>
      </c>
      <c r="C72" s="134">
        <v>5</v>
      </c>
      <c r="D72" s="157" t="s">
        <v>224</v>
      </c>
      <c r="E72" s="136">
        <v>46</v>
      </c>
      <c r="F72" s="79">
        <f t="shared" si="0"/>
        <v>230</v>
      </c>
      <c r="G72" s="58"/>
      <c r="H72" s="137">
        <f t="shared" si="3"/>
        <v>0</v>
      </c>
      <c r="I72" s="138">
        <f t="shared" si="4"/>
        <v>230</v>
      </c>
      <c r="J72" s="153"/>
    </row>
    <row r="73" spans="1:10" s="140" customFormat="1" ht="19.5">
      <c r="A73" s="132"/>
      <c r="B73" s="39" t="s">
        <v>225</v>
      </c>
      <c r="C73" s="134">
        <v>3</v>
      </c>
      <c r="D73" s="157" t="s">
        <v>224</v>
      </c>
      <c r="E73" s="136">
        <v>30</v>
      </c>
      <c r="F73" s="79">
        <f t="shared" si="0"/>
        <v>90</v>
      </c>
      <c r="G73" s="58"/>
      <c r="H73" s="137">
        <f t="shared" si="3"/>
        <v>0</v>
      </c>
      <c r="I73" s="138">
        <f t="shared" si="4"/>
        <v>90</v>
      </c>
      <c r="J73" s="153"/>
    </row>
    <row r="74" spans="1:10" s="140" customFormat="1" ht="19.5">
      <c r="A74" s="132"/>
      <c r="B74" s="39" t="s">
        <v>226</v>
      </c>
      <c r="C74" s="134">
        <v>10</v>
      </c>
      <c r="D74" s="157" t="s">
        <v>27</v>
      </c>
      <c r="E74" s="136">
        <v>86</v>
      </c>
      <c r="F74" s="79">
        <f t="shared" si="0"/>
        <v>860</v>
      </c>
      <c r="G74" s="58"/>
      <c r="H74" s="137">
        <f t="shared" si="3"/>
        <v>0</v>
      </c>
      <c r="I74" s="138">
        <f t="shared" si="4"/>
        <v>860</v>
      </c>
      <c r="J74" s="153"/>
    </row>
    <row r="75" spans="1:10" s="140" customFormat="1" ht="19.5">
      <c r="A75" s="132"/>
      <c r="B75" s="39" t="s">
        <v>227</v>
      </c>
      <c r="C75" s="134">
        <v>1</v>
      </c>
      <c r="D75" s="157" t="s">
        <v>224</v>
      </c>
      <c r="E75" s="136">
        <v>10</v>
      </c>
      <c r="F75" s="79">
        <f t="shared" si="0"/>
        <v>10</v>
      </c>
      <c r="G75" s="58"/>
      <c r="H75" s="137">
        <f t="shared" si="3"/>
        <v>0</v>
      </c>
      <c r="I75" s="138">
        <f t="shared" si="4"/>
        <v>10</v>
      </c>
      <c r="J75" s="153"/>
    </row>
    <row r="76" spans="1:10" s="140" customFormat="1" ht="19.5">
      <c r="A76" s="132"/>
      <c r="B76" s="39" t="s">
        <v>228</v>
      </c>
      <c r="C76" s="134">
        <v>1</v>
      </c>
      <c r="D76" s="157" t="s">
        <v>211</v>
      </c>
      <c r="E76" s="136">
        <v>125</v>
      </c>
      <c r="F76" s="79">
        <f t="shared" si="0"/>
        <v>125</v>
      </c>
      <c r="G76" s="58"/>
      <c r="H76" s="137">
        <f t="shared" si="3"/>
        <v>0</v>
      </c>
      <c r="I76" s="138">
        <f t="shared" si="4"/>
        <v>125</v>
      </c>
      <c r="J76" s="153"/>
    </row>
    <row r="77" spans="1:10" s="140" customFormat="1" ht="22.5">
      <c r="A77" s="132"/>
      <c r="B77" s="39" t="s">
        <v>229</v>
      </c>
      <c r="C77" s="134">
        <v>1</v>
      </c>
      <c r="D77" s="157" t="s">
        <v>230</v>
      </c>
      <c r="E77" s="159"/>
      <c r="F77" s="79">
        <f t="shared" si="0"/>
        <v>0</v>
      </c>
      <c r="G77" s="58">
        <v>370</v>
      </c>
      <c r="H77" s="137">
        <f t="shared" si="3"/>
        <v>370</v>
      </c>
      <c r="I77" s="138">
        <f t="shared" si="4"/>
        <v>370</v>
      </c>
      <c r="J77" s="153"/>
    </row>
    <row r="78" spans="1:10" s="140" customFormat="1" ht="22.5">
      <c r="A78" s="132"/>
      <c r="B78" s="39"/>
      <c r="C78" s="134"/>
      <c r="D78" s="157"/>
      <c r="E78" s="159"/>
      <c r="F78" s="79"/>
      <c r="G78" s="58"/>
      <c r="H78" s="137"/>
      <c r="I78" s="138"/>
      <c r="J78" s="153"/>
    </row>
    <row r="79" spans="1:10" s="140" customFormat="1" ht="19.5">
      <c r="A79" s="132">
        <v>2</v>
      </c>
      <c r="B79" s="160" t="s">
        <v>231</v>
      </c>
      <c r="C79" s="134"/>
      <c r="D79" s="157"/>
      <c r="E79" s="136"/>
      <c r="F79" s="79">
        <f t="shared" si="0"/>
        <v>0</v>
      </c>
      <c r="G79" s="58"/>
      <c r="H79" s="137">
        <f t="shared" si="3"/>
        <v>0</v>
      </c>
      <c r="I79" s="138">
        <f t="shared" si="2"/>
        <v>0</v>
      </c>
      <c r="J79" s="153"/>
    </row>
    <row r="80" spans="1:10" s="140" customFormat="1" ht="19.5">
      <c r="A80" s="132"/>
      <c r="B80" s="160" t="s">
        <v>232</v>
      </c>
      <c r="C80" s="134"/>
      <c r="D80" s="157"/>
      <c r="E80" s="136"/>
      <c r="F80" s="79">
        <f t="shared" si="0"/>
        <v>0</v>
      </c>
      <c r="G80" s="58"/>
      <c r="H80" s="137">
        <f t="shared" si="1"/>
        <v>0</v>
      </c>
      <c r="I80" s="138">
        <f t="shared" si="2"/>
        <v>0</v>
      </c>
      <c r="J80" s="153"/>
    </row>
    <row r="81" spans="1:10" s="140" customFormat="1" ht="19.5">
      <c r="A81" s="132"/>
      <c r="B81" s="39" t="s">
        <v>259</v>
      </c>
      <c r="C81" s="134">
        <v>2</v>
      </c>
      <c r="D81" s="157" t="s">
        <v>211</v>
      </c>
      <c r="E81" s="136">
        <v>1500</v>
      </c>
      <c r="F81" s="79">
        <f t="shared" si="0"/>
        <v>3000</v>
      </c>
      <c r="G81" s="58"/>
      <c r="H81" s="137">
        <f t="shared" si="1"/>
        <v>0</v>
      </c>
      <c r="I81" s="138">
        <f t="shared" si="2"/>
        <v>3000</v>
      </c>
      <c r="J81" s="153"/>
    </row>
    <row r="82" spans="1:10" s="140" customFormat="1" ht="19.5">
      <c r="A82" s="132"/>
      <c r="B82" s="39" t="s">
        <v>233</v>
      </c>
      <c r="C82" s="134">
        <v>1</v>
      </c>
      <c r="D82" s="157" t="s">
        <v>211</v>
      </c>
      <c r="E82" s="136">
        <v>15500</v>
      </c>
      <c r="F82" s="79">
        <f t="shared" si="0"/>
        <v>15500</v>
      </c>
      <c r="G82" s="58"/>
      <c r="H82" s="137">
        <f t="shared" si="1"/>
        <v>0</v>
      </c>
      <c r="I82" s="138">
        <f t="shared" si="2"/>
        <v>15500</v>
      </c>
      <c r="J82" s="153"/>
    </row>
    <row r="83" spans="1:10" s="140" customFormat="1" ht="19.5">
      <c r="A83" s="132"/>
      <c r="B83" s="39" t="s">
        <v>234</v>
      </c>
      <c r="C83" s="134">
        <v>1</v>
      </c>
      <c r="D83" s="157" t="s">
        <v>211</v>
      </c>
      <c r="E83" s="136">
        <v>15500</v>
      </c>
      <c r="F83" s="79">
        <f t="shared" si="0"/>
        <v>15500</v>
      </c>
      <c r="G83" s="58"/>
      <c r="H83" s="137">
        <f t="shared" si="1"/>
        <v>0</v>
      </c>
      <c r="I83" s="138">
        <f t="shared" si="2"/>
        <v>15500</v>
      </c>
      <c r="J83" s="153"/>
    </row>
    <row r="84" spans="1:10" s="140" customFormat="1" ht="19.5">
      <c r="A84" s="193"/>
      <c r="B84" s="191" t="s">
        <v>235</v>
      </c>
      <c r="C84" s="185">
        <v>1</v>
      </c>
      <c r="D84" s="194" t="s">
        <v>211</v>
      </c>
      <c r="E84" s="195">
        <v>18500</v>
      </c>
      <c r="F84" s="188">
        <f t="shared" si="0"/>
        <v>18500</v>
      </c>
      <c r="G84" s="196"/>
      <c r="H84" s="187">
        <f t="shared" si="1"/>
        <v>0</v>
      </c>
      <c r="I84" s="186">
        <f t="shared" si="2"/>
        <v>18500</v>
      </c>
      <c r="J84" s="192"/>
    </row>
    <row r="85" spans="1:10" s="14" customFormat="1" ht="19.5">
      <c r="A85" s="359" t="s">
        <v>53</v>
      </c>
      <c r="B85" s="360"/>
      <c r="C85" s="360"/>
      <c r="D85" s="360"/>
      <c r="E85" s="360"/>
      <c r="F85" s="360"/>
      <c r="G85" s="360"/>
      <c r="H85" s="360"/>
      <c r="I85" s="360"/>
      <c r="J85" s="361"/>
    </row>
    <row r="86" spans="1:10" s="14" customFormat="1" ht="19.5">
      <c r="A86" s="362" t="s">
        <v>173</v>
      </c>
      <c r="B86" s="363"/>
      <c r="C86" s="363"/>
      <c r="D86" s="363"/>
      <c r="E86" s="363"/>
      <c r="F86" s="363"/>
      <c r="G86" s="363"/>
      <c r="H86" s="363"/>
      <c r="I86" s="363"/>
      <c r="J86" s="33" t="s">
        <v>55</v>
      </c>
    </row>
    <row r="87" spans="1:10" s="14" customFormat="1" ht="19.5">
      <c r="A87" s="352" t="s">
        <v>174</v>
      </c>
      <c r="B87" s="353"/>
      <c r="C87" s="353"/>
      <c r="D87" s="353"/>
      <c r="E87" s="353"/>
      <c r="F87" s="353"/>
      <c r="G87" s="353"/>
      <c r="H87" s="353"/>
      <c r="I87" s="353"/>
      <c r="J87" s="33" t="s">
        <v>254</v>
      </c>
    </row>
    <row r="88" spans="1:10" s="14" customFormat="1" ht="19.5">
      <c r="A88" s="352" t="str">
        <f>A4</f>
        <v>ชื่อโครงการ      : ก่อสร้างอาคารพร้อมระบบผลิตน้ำดื่มกำลังการผลิต ขนาด 250 ลิตร/ชั่วโมง</v>
      </c>
      <c r="B88" s="353"/>
      <c r="C88" s="353"/>
      <c r="D88" s="353"/>
      <c r="E88" s="353"/>
      <c r="F88" s="353"/>
      <c r="G88" s="353"/>
      <c r="H88" s="353"/>
      <c r="I88" s="353"/>
      <c r="J88" s="34"/>
    </row>
    <row r="89" spans="1:10" s="14" customFormat="1" ht="19.5">
      <c r="A89" s="352" t="s">
        <v>175</v>
      </c>
      <c r="B89" s="353"/>
      <c r="C89" s="353"/>
      <c r="D89" s="353"/>
      <c r="E89" s="353"/>
      <c r="F89" s="353"/>
      <c r="G89" s="353"/>
      <c r="H89" s="353"/>
      <c r="I89" s="353"/>
      <c r="J89" s="35"/>
    </row>
    <row r="90" spans="1:10" s="14" customFormat="1" ht="19.5">
      <c r="A90" s="352" t="s">
        <v>248</v>
      </c>
      <c r="B90" s="353"/>
      <c r="C90" s="353"/>
      <c r="D90" s="353"/>
      <c r="E90" s="353"/>
      <c r="F90" s="353"/>
      <c r="G90" s="353"/>
      <c r="H90" s="353"/>
      <c r="I90" s="353"/>
      <c r="J90" s="35"/>
    </row>
    <row r="91" spans="1:10" s="14" customFormat="1" ht="20.25" thickBot="1">
      <c r="A91" s="356" t="s">
        <v>176</v>
      </c>
      <c r="B91" s="357"/>
      <c r="C91" s="357"/>
      <c r="D91" s="357"/>
      <c r="E91" s="357"/>
      <c r="F91" s="357"/>
      <c r="G91" s="357"/>
      <c r="H91" s="357"/>
      <c r="I91" s="357"/>
      <c r="J91" s="36" t="s">
        <v>57</v>
      </c>
    </row>
    <row r="92" spans="1:10" s="14" customFormat="1" ht="20.25" thickTop="1">
      <c r="A92" s="354" t="s">
        <v>5</v>
      </c>
      <c r="B92" s="354" t="s">
        <v>0</v>
      </c>
      <c r="C92" s="354" t="s">
        <v>1</v>
      </c>
      <c r="D92" s="354" t="s">
        <v>2</v>
      </c>
      <c r="E92" s="358" t="s">
        <v>58</v>
      </c>
      <c r="F92" s="358"/>
      <c r="G92" s="358" t="s">
        <v>59</v>
      </c>
      <c r="H92" s="358"/>
      <c r="I92" s="15" t="s">
        <v>25</v>
      </c>
      <c r="J92" s="354" t="s">
        <v>4</v>
      </c>
    </row>
    <row r="93" spans="1:10" s="14" customFormat="1" ht="20.25" thickBot="1">
      <c r="A93" s="355"/>
      <c r="B93" s="355"/>
      <c r="C93" s="355"/>
      <c r="D93" s="355"/>
      <c r="E93" s="16" t="s">
        <v>19</v>
      </c>
      <c r="F93" s="16" t="s">
        <v>3</v>
      </c>
      <c r="G93" s="38" t="s">
        <v>19</v>
      </c>
      <c r="H93" s="63" t="s">
        <v>3</v>
      </c>
      <c r="I93" s="16" t="s">
        <v>21</v>
      </c>
      <c r="J93" s="355"/>
    </row>
    <row r="94" spans="1:10" s="140" customFormat="1" ht="20.25" thickTop="1">
      <c r="A94" s="132"/>
      <c r="B94" s="39" t="s">
        <v>245</v>
      </c>
      <c r="C94" s="134">
        <v>1</v>
      </c>
      <c r="D94" s="157" t="s">
        <v>211</v>
      </c>
      <c r="E94" s="136">
        <v>82000</v>
      </c>
      <c r="F94" s="79">
        <f t="shared" si="0"/>
        <v>82000</v>
      </c>
      <c r="G94" s="58"/>
      <c r="H94" s="137">
        <f t="shared" si="1"/>
        <v>0</v>
      </c>
      <c r="I94" s="138">
        <f t="shared" si="2"/>
        <v>82000</v>
      </c>
      <c r="J94" s="153"/>
    </row>
    <row r="95" spans="1:10" s="140" customFormat="1" ht="19.5">
      <c r="A95" s="132"/>
      <c r="B95" s="39" t="s">
        <v>246</v>
      </c>
      <c r="C95" s="134">
        <v>1</v>
      </c>
      <c r="D95" s="157" t="s">
        <v>211</v>
      </c>
      <c r="E95" s="136">
        <v>14500</v>
      </c>
      <c r="F95" s="79">
        <f t="shared" si="0"/>
        <v>14500</v>
      </c>
      <c r="G95" s="58"/>
      <c r="H95" s="137">
        <f t="shared" si="1"/>
        <v>0</v>
      </c>
      <c r="I95" s="138">
        <f t="shared" si="2"/>
        <v>14500</v>
      </c>
      <c r="J95" s="153"/>
    </row>
    <row r="96" spans="1:10" s="140" customFormat="1" ht="19.5">
      <c r="A96" s="132"/>
      <c r="B96" s="39" t="s">
        <v>236</v>
      </c>
      <c r="C96" s="134">
        <v>2</v>
      </c>
      <c r="D96" s="157" t="s">
        <v>211</v>
      </c>
      <c r="E96" s="136">
        <v>6000</v>
      </c>
      <c r="F96" s="79">
        <f t="shared" si="0"/>
        <v>12000</v>
      </c>
      <c r="G96" s="58"/>
      <c r="H96" s="137">
        <f t="shared" si="1"/>
        <v>0</v>
      </c>
      <c r="I96" s="138">
        <f t="shared" si="2"/>
        <v>12000</v>
      </c>
      <c r="J96" s="153"/>
    </row>
    <row r="97" spans="1:10" s="140" customFormat="1" ht="19.5">
      <c r="A97" s="132"/>
      <c r="B97" s="39" t="s">
        <v>258</v>
      </c>
      <c r="C97" s="134">
        <v>2</v>
      </c>
      <c r="D97" s="157" t="s">
        <v>237</v>
      </c>
      <c r="E97" s="136">
        <v>16050</v>
      </c>
      <c r="F97" s="79">
        <f t="shared" si="0"/>
        <v>32100</v>
      </c>
      <c r="G97" s="58"/>
      <c r="H97" s="137">
        <f t="shared" si="1"/>
        <v>0</v>
      </c>
      <c r="I97" s="138">
        <f t="shared" si="2"/>
        <v>32100</v>
      </c>
      <c r="J97" s="153"/>
    </row>
    <row r="98" spans="1:10" s="140" customFormat="1" ht="19.5">
      <c r="A98" s="132"/>
      <c r="B98" s="39" t="s">
        <v>238</v>
      </c>
      <c r="C98" s="134">
        <v>1</v>
      </c>
      <c r="D98" s="157" t="s">
        <v>211</v>
      </c>
      <c r="E98" s="136">
        <v>22500</v>
      </c>
      <c r="F98" s="79">
        <f t="shared" si="0"/>
        <v>22500</v>
      </c>
      <c r="G98" s="58"/>
      <c r="H98" s="137">
        <f t="shared" si="1"/>
        <v>0</v>
      </c>
      <c r="I98" s="138">
        <f t="shared" si="2"/>
        <v>22500</v>
      </c>
      <c r="J98" s="153"/>
    </row>
    <row r="99" spans="1:10" s="140" customFormat="1" ht="19.5">
      <c r="A99" s="132"/>
      <c r="B99" s="39" t="s">
        <v>239</v>
      </c>
      <c r="C99" s="134">
        <v>1</v>
      </c>
      <c r="D99" s="157" t="s">
        <v>230</v>
      </c>
      <c r="E99" s="136"/>
      <c r="F99" s="79">
        <f t="shared" si="0"/>
        <v>0</v>
      </c>
      <c r="G99" s="58">
        <v>5000</v>
      </c>
      <c r="H99" s="137">
        <f t="shared" si="1"/>
        <v>5000</v>
      </c>
      <c r="I99" s="138">
        <f t="shared" si="2"/>
        <v>5000</v>
      </c>
      <c r="J99" s="153"/>
    </row>
    <row r="100" spans="1:10" s="14" customFormat="1" ht="19.5">
      <c r="A100" s="50"/>
      <c r="B100" s="50"/>
      <c r="C100" s="51"/>
      <c r="D100" s="51"/>
      <c r="E100" s="51"/>
      <c r="F100" s="51"/>
      <c r="G100" s="161"/>
      <c r="H100" s="148"/>
      <c r="I100" s="51"/>
      <c r="J100" s="51"/>
    </row>
    <row r="101" spans="1:10" s="14" customFormat="1" ht="19.5">
      <c r="A101" s="50"/>
      <c r="B101" s="162" t="s">
        <v>240</v>
      </c>
      <c r="C101" s="163"/>
      <c r="D101" s="164"/>
      <c r="E101" s="165"/>
      <c r="F101" s="364" t="s">
        <v>241</v>
      </c>
      <c r="G101" s="364"/>
      <c r="H101" s="166" t="s">
        <v>64</v>
      </c>
      <c r="I101" s="167" t="s">
        <v>242</v>
      </c>
      <c r="J101" s="51"/>
    </row>
    <row r="102" spans="1:10" s="14" customFormat="1" ht="19.5">
      <c r="A102" s="50"/>
      <c r="B102" s="168" t="s">
        <v>243</v>
      </c>
      <c r="C102" s="169"/>
      <c r="D102" s="170"/>
      <c r="E102" s="171"/>
      <c r="F102" s="365">
        <f>SUM(I10:I79)</f>
        <v>210561.28000000003</v>
      </c>
      <c r="G102" s="365"/>
      <c r="H102" s="172">
        <v>1.3046</v>
      </c>
      <c r="I102" s="173">
        <f>ROUND((F102*H102),2)</f>
        <v>274698.25</v>
      </c>
      <c r="J102" s="51"/>
    </row>
    <row r="103" spans="1:10" s="14" customFormat="1" ht="19.5">
      <c r="A103" s="50"/>
      <c r="B103" s="168" t="s">
        <v>244</v>
      </c>
      <c r="C103" s="169"/>
      <c r="D103" s="170"/>
      <c r="E103" s="171"/>
      <c r="F103" s="365">
        <f>SUM(I79:I99)</f>
        <v>220600</v>
      </c>
      <c r="G103" s="365"/>
      <c r="H103" s="172">
        <v>1</v>
      </c>
      <c r="I103" s="173">
        <f>ROUND((F103*H103),2)</f>
        <v>220600</v>
      </c>
      <c r="J103" s="51"/>
    </row>
    <row r="104" spans="1:10" s="14" customFormat="1" ht="19.5">
      <c r="A104" s="50"/>
      <c r="B104" s="162" t="s">
        <v>34</v>
      </c>
      <c r="C104" s="169"/>
      <c r="D104" s="170"/>
      <c r="E104" s="171"/>
      <c r="F104" s="174"/>
      <c r="G104" s="175"/>
      <c r="H104" s="175"/>
      <c r="I104" s="166">
        <f>SUM(I102:I103)</f>
        <v>495298.25</v>
      </c>
      <c r="J104" s="51"/>
    </row>
    <row r="105" spans="1:10" s="14" customFormat="1" ht="20.25" thickBot="1">
      <c r="A105" s="50"/>
      <c r="B105" s="168" t="s">
        <v>94</v>
      </c>
      <c r="C105" s="169"/>
      <c r="D105" s="170"/>
      <c r="E105" s="171"/>
      <c r="F105" s="176"/>
      <c r="G105" s="176"/>
      <c r="H105" s="177"/>
      <c r="I105" s="178">
        <v>495000</v>
      </c>
      <c r="J105" s="51"/>
    </row>
    <row r="106" spans="1:10" s="14" customFormat="1" ht="20.25" thickTop="1">
      <c r="A106" s="180"/>
      <c r="B106" s="180"/>
      <c r="C106" s="34"/>
      <c r="D106" s="34"/>
      <c r="E106" s="34"/>
      <c r="F106" s="34"/>
      <c r="G106" s="181"/>
      <c r="H106" s="182"/>
      <c r="I106" s="34"/>
      <c r="J106" s="34"/>
    </row>
  </sheetData>
  <sheetProtection/>
  <mergeCells count="59">
    <mergeCell ref="A1:J1"/>
    <mergeCell ref="A2:I2"/>
    <mergeCell ref="A3:I3"/>
    <mergeCell ref="A4:I4"/>
    <mergeCell ref="A5:I5"/>
    <mergeCell ref="A6:I6"/>
    <mergeCell ref="A7:I7"/>
    <mergeCell ref="A8:A9"/>
    <mergeCell ref="B8:B9"/>
    <mergeCell ref="C8:C9"/>
    <mergeCell ref="D8:D9"/>
    <mergeCell ref="E8:F8"/>
    <mergeCell ref="G8:H8"/>
    <mergeCell ref="J8:J9"/>
    <mergeCell ref="F101:G101"/>
    <mergeCell ref="F102:G102"/>
    <mergeCell ref="F103:G103"/>
    <mergeCell ref="A30:I30"/>
    <mergeCell ref="A31:I31"/>
    <mergeCell ref="A32:I32"/>
    <mergeCell ref="A57:J57"/>
    <mergeCell ref="A58:I58"/>
    <mergeCell ref="A59:I59"/>
    <mergeCell ref="A60:I60"/>
    <mergeCell ref="J36:J37"/>
    <mergeCell ref="A33:I33"/>
    <mergeCell ref="A29:J29"/>
    <mergeCell ref="A34:I34"/>
    <mergeCell ref="A35:I35"/>
    <mergeCell ref="A36:A37"/>
    <mergeCell ref="B36:B37"/>
    <mergeCell ref="C36:C37"/>
    <mergeCell ref="D36:D37"/>
    <mergeCell ref="E36:F36"/>
    <mergeCell ref="G36:H36"/>
    <mergeCell ref="A61:I61"/>
    <mergeCell ref="A64:A65"/>
    <mergeCell ref="B64:B65"/>
    <mergeCell ref="C64:C65"/>
    <mergeCell ref="D64:D65"/>
    <mergeCell ref="E64:F64"/>
    <mergeCell ref="G64:H64"/>
    <mergeCell ref="A62:I62"/>
    <mergeCell ref="A63:I63"/>
    <mergeCell ref="J64:J65"/>
    <mergeCell ref="A85:J85"/>
    <mergeCell ref="A86:I86"/>
    <mergeCell ref="A87:I87"/>
    <mergeCell ref="A88:I88"/>
    <mergeCell ref="A89:I89"/>
    <mergeCell ref="J92:J93"/>
    <mergeCell ref="A90:I90"/>
    <mergeCell ref="A91:I91"/>
    <mergeCell ref="A92:A93"/>
    <mergeCell ref="B92:B93"/>
    <mergeCell ref="C92:C93"/>
    <mergeCell ref="D92:D93"/>
    <mergeCell ref="E92:F92"/>
    <mergeCell ref="G92:H92"/>
  </mergeCells>
  <printOptions/>
  <pageMargins left="0.5118110236220472" right="0" top="0.5511811023622047" bottom="0.35433070866141736" header="0" footer="0"/>
  <pageSetup horizontalDpi="1200" verticalDpi="12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">
      <selection activeCell="R10" sqref="R10"/>
    </sheetView>
  </sheetViews>
  <sheetFormatPr defaultColWidth="9.140625" defaultRowHeight="21.75"/>
  <cols>
    <col min="1" max="1" width="5.8515625" style="234" customWidth="1"/>
    <col min="2" max="3" width="12.140625" style="234" customWidth="1"/>
    <col min="4" max="4" width="14.8515625" style="234" customWidth="1"/>
    <col min="5" max="5" width="8.28125" style="234" customWidth="1"/>
    <col min="6" max="6" width="12.140625" style="234" customWidth="1"/>
    <col min="7" max="7" width="8.28125" style="234" customWidth="1"/>
    <col min="8" max="8" width="10.421875" style="234" customWidth="1"/>
    <col min="9" max="9" width="9.7109375" style="234" customWidth="1"/>
    <col min="10" max="10" width="10.57421875" style="234" customWidth="1"/>
    <col min="11" max="11" width="12.140625" style="234" customWidth="1"/>
    <col min="12" max="12" width="17.28125" style="234" customWidth="1"/>
    <col min="13" max="16384" width="9.140625" style="234" customWidth="1"/>
  </cols>
  <sheetData>
    <row r="1" spans="1:12" ht="21">
      <c r="A1" s="453" t="s">
        <v>356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21">
      <c r="A2" s="442" t="str">
        <f>'1ปร.4(งานอาคาร)'!A2:I2</f>
        <v>หน่วยงานเจ้าของโครงการ  :  กองช่าง องค์การบริการส่วนตำบลป่ากลาง   อำเภอปัว  จังหวัดน่าน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ht="21">
      <c r="A3" s="442" t="str">
        <f>'1ปร.4(งานอาคาร)'!A3:I3</f>
        <v>ชื่อโครงการ      : ก่อสร้างรางระบายน้ำ  บ้านป่ากลาง  หมู่ที่ 7 ( บริเวณบ้านผู้ช่วยวิชาญถึงบ้านอาจารย์พนม )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2" ht="21">
      <c r="A4" s="442" t="str">
        <f>'1ปร.4(งานอาคาร)'!A4:I4</f>
        <v>สถานที่ก่อสร้าง : บ้านป่ากลาง  หมู่ที่ 7 ตำบลป่ากลาง  อำเภอปัว จังหวัดน่าน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</row>
    <row r="5" spans="1:12" ht="21" customHeight="1">
      <c r="A5" s="442" t="str">
        <f>'1ปร.4(งานอาคาร)'!A5:I5</f>
        <v>ปริมาณงาน      :   ก่อสร้างรางระบายน้ำขนาดกว้าง 0.40 เมตร  ลึก 0.35 เมตร  ยาว  55.50  เมตร  พร้อมผาปิดตะแกรงเหล็ก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2" ht="21">
      <c r="A6" s="443" t="str">
        <f>'1ปร.4(งานอาคาร)'!A6:I6</f>
        <v>รายละเอียดแบบ :แบบองค์การบริหารส่วนตำบลป่ากลาง  เลขที่   20/2561                 จำนวน   5    แผ่น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</row>
    <row r="7" spans="1:12" ht="24" customHeight="1">
      <c r="A7" s="457" t="str">
        <f>'1ปร.4(งานอาคาร)'!G6</f>
        <v>กำหนดราคากลาง  : วันที่   11    ธันวาคม  พ.ศ.2561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</row>
    <row r="8" spans="1:12" ht="21">
      <c r="A8" s="236" t="s">
        <v>357</v>
      </c>
      <c r="B8" s="454" t="s">
        <v>0</v>
      </c>
      <c r="C8" s="455"/>
      <c r="D8" s="456"/>
      <c r="E8" s="236" t="s">
        <v>2</v>
      </c>
      <c r="F8" s="236" t="s">
        <v>358</v>
      </c>
      <c r="G8" s="236" t="s">
        <v>359</v>
      </c>
      <c r="H8" s="236" t="s">
        <v>358</v>
      </c>
      <c r="I8" s="236" t="s">
        <v>360</v>
      </c>
      <c r="J8" s="236" t="s">
        <v>361</v>
      </c>
      <c r="K8" s="236" t="s">
        <v>25</v>
      </c>
      <c r="L8" s="236" t="s">
        <v>4</v>
      </c>
    </row>
    <row r="9" spans="1:12" ht="21">
      <c r="A9" s="237" t="s">
        <v>362</v>
      </c>
      <c r="B9" s="238"/>
      <c r="C9" s="239"/>
      <c r="D9" s="240"/>
      <c r="E9" s="237"/>
      <c r="F9" s="237" t="s">
        <v>363</v>
      </c>
      <c r="G9" s="237" t="s">
        <v>364</v>
      </c>
      <c r="H9" s="237" t="s">
        <v>364</v>
      </c>
      <c r="I9" s="237" t="s">
        <v>365</v>
      </c>
      <c r="J9" s="237" t="s">
        <v>366</v>
      </c>
      <c r="K9" s="237"/>
      <c r="L9" s="237"/>
    </row>
    <row r="10" spans="1:12" ht="21">
      <c r="A10" s="241"/>
      <c r="B10" s="242"/>
      <c r="C10" s="243"/>
      <c r="D10" s="244"/>
      <c r="E10" s="241"/>
      <c r="F10" s="241" t="s">
        <v>21</v>
      </c>
      <c r="G10" s="241" t="s">
        <v>367</v>
      </c>
      <c r="H10" s="241" t="s">
        <v>21</v>
      </c>
      <c r="I10" s="241" t="s">
        <v>21</v>
      </c>
      <c r="J10" s="241" t="s">
        <v>21</v>
      </c>
      <c r="K10" s="241" t="s">
        <v>21</v>
      </c>
      <c r="L10" s="241"/>
    </row>
    <row r="11" spans="1:12" ht="21">
      <c r="A11" s="245">
        <v>1</v>
      </c>
      <c r="B11" s="246" t="s">
        <v>368</v>
      </c>
      <c r="C11" s="247"/>
      <c r="D11" s="248"/>
      <c r="E11" s="245" t="s">
        <v>369</v>
      </c>
      <c r="F11" s="249">
        <v>2200</v>
      </c>
      <c r="G11" s="250">
        <v>0</v>
      </c>
      <c r="H11" s="250">
        <v>0</v>
      </c>
      <c r="I11" s="250">
        <v>0</v>
      </c>
      <c r="J11" s="250">
        <v>0</v>
      </c>
      <c r="K11" s="251">
        <f>ROUND($F$11+$H$11+$I$11+$J$11,2)</f>
        <v>2200</v>
      </c>
      <c r="L11" s="252" t="s">
        <v>370</v>
      </c>
    </row>
    <row r="12" spans="1:12" ht="21">
      <c r="A12" s="253">
        <v>2</v>
      </c>
      <c r="B12" s="254" t="s">
        <v>371</v>
      </c>
      <c r="C12" s="255"/>
      <c r="D12" s="256"/>
      <c r="E12" s="253" t="s">
        <v>372</v>
      </c>
      <c r="F12" s="257">
        <v>21470.9</v>
      </c>
      <c r="G12" s="258">
        <v>0</v>
      </c>
      <c r="H12" s="258">
        <v>0</v>
      </c>
      <c r="I12" s="258">
        <v>0</v>
      </c>
      <c r="J12" s="258">
        <v>4100</v>
      </c>
      <c r="K12" s="259">
        <f>ROUND($F$12+$H$12+$I$12+$J$12,2)</f>
        <v>25570.9</v>
      </c>
      <c r="L12" s="260" t="s">
        <v>373</v>
      </c>
    </row>
    <row r="13" spans="1:12" ht="21">
      <c r="A13" s="253">
        <v>3</v>
      </c>
      <c r="B13" s="254" t="s">
        <v>374</v>
      </c>
      <c r="C13" s="255"/>
      <c r="D13" s="256"/>
      <c r="E13" s="253" t="s">
        <v>372</v>
      </c>
      <c r="F13" s="257">
        <v>21351.4</v>
      </c>
      <c r="G13" s="258">
        <v>0</v>
      </c>
      <c r="H13" s="258">
        <v>0</v>
      </c>
      <c r="I13" s="258">
        <v>0</v>
      </c>
      <c r="J13" s="258">
        <v>4100</v>
      </c>
      <c r="K13" s="259">
        <f>ROUND($F$13+$H$13+$I$13+$J$13,2)</f>
        <v>25451.4</v>
      </c>
      <c r="L13" s="260" t="s">
        <v>375</v>
      </c>
    </row>
    <row r="14" spans="1:12" ht="21">
      <c r="A14" s="253">
        <v>4</v>
      </c>
      <c r="B14" s="254" t="s">
        <v>376</v>
      </c>
      <c r="C14" s="255"/>
      <c r="D14" s="256"/>
      <c r="E14" s="253" t="s">
        <v>372</v>
      </c>
      <c r="F14" s="257">
        <v>0</v>
      </c>
      <c r="G14" s="258">
        <v>0</v>
      </c>
      <c r="H14" s="258">
        <v>0</v>
      </c>
      <c r="I14" s="258">
        <v>0</v>
      </c>
      <c r="J14" s="258">
        <v>3300</v>
      </c>
      <c r="K14" s="259">
        <f>ROUND($F$14+$H$14+$I$14+$J$14,2)</f>
        <v>3300</v>
      </c>
      <c r="L14" s="260" t="s">
        <v>377</v>
      </c>
    </row>
    <row r="15" spans="1:12" ht="21">
      <c r="A15" s="253">
        <v>5</v>
      </c>
      <c r="B15" s="254" t="s">
        <v>378</v>
      </c>
      <c r="C15" s="255"/>
      <c r="D15" s="256"/>
      <c r="E15" s="253" t="s">
        <v>372</v>
      </c>
      <c r="F15" s="257">
        <v>0</v>
      </c>
      <c r="G15" s="258">
        <v>0</v>
      </c>
      <c r="H15" s="258">
        <v>0</v>
      </c>
      <c r="I15" s="258">
        <v>0</v>
      </c>
      <c r="J15" s="258">
        <v>3300</v>
      </c>
      <c r="K15" s="259">
        <f>ROUND($F$15+$H$15+$I$15+$J$15,2)</f>
        <v>3300</v>
      </c>
      <c r="L15" s="260" t="s">
        <v>377</v>
      </c>
    </row>
    <row r="16" spans="1:12" ht="21">
      <c r="A16" s="253">
        <v>6</v>
      </c>
      <c r="B16" s="254" t="s">
        <v>379</v>
      </c>
      <c r="C16" s="255"/>
      <c r="D16" s="256"/>
      <c r="E16" s="253" t="s">
        <v>380</v>
      </c>
      <c r="F16" s="257">
        <v>67.29</v>
      </c>
      <c r="G16" s="258">
        <v>0</v>
      </c>
      <c r="H16" s="258">
        <v>0</v>
      </c>
      <c r="I16" s="258">
        <v>0</v>
      </c>
      <c r="J16" s="258">
        <v>0</v>
      </c>
      <c r="K16" s="259">
        <f>ROUND($F$16+$H$16+$I$16+$J$16,2)</f>
        <v>67.29</v>
      </c>
      <c r="L16" s="260" t="s">
        <v>399</v>
      </c>
    </row>
    <row r="17" spans="1:12" ht="21">
      <c r="A17" s="253">
        <v>7</v>
      </c>
      <c r="B17" s="255" t="s">
        <v>381</v>
      </c>
      <c r="C17" s="255"/>
      <c r="D17" s="256"/>
      <c r="E17" s="253" t="s">
        <v>372</v>
      </c>
      <c r="F17" s="257">
        <v>2803.74</v>
      </c>
      <c r="G17" s="258">
        <v>0</v>
      </c>
      <c r="H17" s="258">
        <v>0</v>
      </c>
      <c r="I17" s="258">
        <v>0</v>
      </c>
      <c r="J17" s="258">
        <v>0</v>
      </c>
      <c r="K17" s="259">
        <f>ROUND($F$17+$H$17+$I$17+$J$17,2)</f>
        <v>2803.74</v>
      </c>
      <c r="L17" s="260" t="s">
        <v>469</v>
      </c>
    </row>
    <row r="18" spans="1:12" ht="21">
      <c r="A18" s="253">
        <v>8</v>
      </c>
      <c r="B18" s="255" t="s">
        <v>382</v>
      </c>
      <c r="C18" s="255"/>
      <c r="D18" s="256"/>
      <c r="E18" s="253" t="s">
        <v>369</v>
      </c>
      <c r="F18" s="257">
        <v>400.47</v>
      </c>
      <c r="G18" s="258">
        <v>65</v>
      </c>
      <c r="H18" s="261">
        <v>135.37</v>
      </c>
      <c r="I18" s="258">
        <v>0</v>
      </c>
      <c r="J18" s="258">
        <v>0</v>
      </c>
      <c r="K18" s="259">
        <f>ROUND($F$18+$H$18+$I$18+$J$18,2)</f>
        <v>535.84</v>
      </c>
      <c r="L18" s="260" t="s">
        <v>470</v>
      </c>
    </row>
    <row r="19" spans="1:12" ht="21">
      <c r="A19" s="253">
        <v>9</v>
      </c>
      <c r="B19" s="255" t="s">
        <v>383</v>
      </c>
      <c r="C19" s="255"/>
      <c r="D19" s="256"/>
      <c r="E19" s="253" t="s">
        <v>369</v>
      </c>
      <c r="F19" s="257">
        <v>470.09</v>
      </c>
      <c r="G19" s="258">
        <v>65</v>
      </c>
      <c r="H19" s="261">
        <v>135.37</v>
      </c>
      <c r="I19" s="258">
        <v>0</v>
      </c>
      <c r="J19" s="258">
        <v>0</v>
      </c>
      <c r="K19" s="259">
        <f>ROUND($F$19+$H$19+$I$19+$J$19,2)</f>
        <v>605.46</v>
      </c>
      <c r="L19" s="260" t="s">
        <v>400</v>
      </c>
    </row>
    <row r="20" spans="1:12" ht="21">
      <c r="A20" s="253">
        <v>10</v>
      </c>
      <c r="B20" s="255" t="s">
        <v>384</v>
      </c>
      <c r="C20" s="255"/>
      <c r="D20" s="256"/>
      <c r="E20" s="253" t="s">
        <v>369</v>
      </c>
      <c r="F20" s="257">
        <v>0</v>
      </c>
      <c r="G20" s="258">
        <v>0</v>
      </c>
      <c r="H20" s="258">
        <v>0</v>
      </c>
      <c r="I20" s="258">
        <v>0</v>
      </c>
      <c r="J20" s="258">
        <v>0</v>
      </c>
      <c r="K20" s="259">
        <f>ROUND($F$20+$H$20+$I$20+$J$20,2)</f>
        <v>0</v>
      </c>
      <c r="L20" s="260" t="s">
        <v>377</v>
      </c>
    </row>
    <row r="21" spans="1:12" ht="21">
      <c r="A21" s="253">
        <v>11</v>
      </c>
      <c r="B21" s="262" t="s">
        <v>385</v>
      </c>
      <c r="C21" s="255"/>
      <c r="D21" s="256"/>
      <c r="E21" s="253" t="s">
        <v>369</v>
      </c>
      <c r="F21" s="263">
        <v>0</v>
      </c>
      <c r="G21" s="258">
        <v>0</v>
      </c>
      <c r="H21" s="258">
        <v>0</v>
      </c>
      <c r="I21" s="258">
        <v>0</v>
      </c>
      <c r="J21" s="258">
        <v>0</v>
      </c>
      <c r="K21" s="259">
        <f>ROUND($F$21+$H$21+$I$21+$J$21,2)</f>
        <v>0</v>
      </c>
      <c r="L21" s="260" t="s">
        <v>377</v>
      </c>
    </row>
    <row r="22" spans="1:12" ht="21">
      <c r="A22" s="253">
        <v>12</v>
      </c>
      <c r="B22" s="264" t="s">
        <v>386</v>
      </c>
      <c r="C22" s="255"/>
      <c r="D22" s="256"/>
      <c r="E22" s="253" t="s">
        <v>27</v>
      </c>
      <c r="F22" s="265">
        <v>0</v>
      </c>
      <c r="G22" s="258">
        <v>0</v>
      </c>
      <c r="H22" s="258">
        <v>0</v>
      </c>
      <c r="I22" s="258">
        <v>0</v>
      </c>
      <c r="J22" s="258">
        <v>0</v>
      </c>
      <c r="K22" s="259">
        <f>ROUND($F$22+$H$22+$I$22+$J$22,2)</f>
        <v>0</v>
      </c>
      <c r="L22" s="260" t="s">
        <v>377</v>
      </c>
    </row>
    <row r="23" spans="1:12" ht="21">
      <c r="A23" s="253">
        <v>13</v>
      </c>
      <c r="B23" s="255" t="s">
        <v>387</v>
      </c>
      <c r="C23" s="255"/>
      <c r="D23" s="256"/>
      <c r="E23" s="253" t="s">
        <v>330</v>
      </c>
      <c r="F23" s="257">
        <v>696.26</v>
      </c>
      <c r="G23" s="258">
        <v>0</v>
      </c>
      <c r="H23" s="258">
        <v>0</v>
      </c>
      <c r="I23" s="258">
        <v>0</v>
      </c>
      <c r="J23" s="258">
        <v>0</v>
      </c>
      <c r="K23" s="259">
        <f>ROUND($F$23+$H$23+$I$23+$J$23,2)</f>
        <v>696.26</v>
      </c>
      <c r="L23" s="260" t="s">
        <v>471</v>
      </c>
    </row>
    <row r="24" spans="1:12" ht="21">
      <c r="A24" s="253">
        <v>14</v>
      </c>
      <c r="B24" s="255" t="s">
        <v>388</v>
      </c>
      <c r="C24" s="255"/>
      <c r="D24" s="256"/>
      <c r="E24" s="253" t="s">
        <v>330</v>
      </c>
      <c r="F24" s="257">
        <v>582.24</v>
      </c>
      <c r="G24" s="258">
        <v>0</v>
      </c>
      <c r="H24" s="258">
        <v>0</v>
      </c>
      <c r="I24" s="258">
        <v>0</v>
      </c>
      <c r="J24" s="258">
        <v>0</v>
      </c>
      <c r="K24" s="259">
        <f>ROUND($F$24+$H$24+$I$24+$J$24,2)</f>
        <v>582.24</v>
      </c>
      <c r="L24" s="260" t="s">
        <v>472</v>
      </c>
    </row>
    <row r="25" spans="1:12" ht="21">
      <c r="A25" s="253">
        <v>15</v>
      </c>
      <c r="B25" s="255" t="s">
        <v>389</v>
      </c>
      <c r="C25" s="255"/>
      <c r="D25" s="256"/>
      <c r="E25" s="253" t="s">
        <v>27</v>
      </c>
      <c r="F25" s="265">
        <v>0</v>
      </c>
      <c r="G25" s="258">
        <v>0</v>
      </c>
      <c r="H25" s="258">
        <v>0</v>
      </c>
      <c r="I25" s="258">
        <v>0</v>
      </c>
      <c r="J25" s="258">
        <v>0</v>
      </c>
      <c r="K25" s="259">
        <f>ROUND($F$25+$H$25+$I$25+$J$25,2)</f>
        <v>0</v>
      </c>
      <c r="L25" s="260" t="s">
        <v>377</v>
      </c>
    </row>
    <row r="26" spans="1:12" ht="21">
      <c r="A26" s="253">
        <v>16</v>
      </c>
      <c r="B26" s="266" t="s">
        <v>390</v>
      </c>
      <c r="C26" s="255"/>
      <c r="D26" s="256"/>
      <c r="E26" s="253" t="s">
        <v>26</v>
      </c>
      <c r="F26" s="257">
        <v>37.38</v>
      </c>
      <c r="G26" s="258">
        <v>0</v>
      </c>
      <c r="H26" s="258">
        <v>0</v>
      </c>
      <c r="I26" s="258">
        <v>0</v>
      </c>
      <c r="J26" s="258">
        <v>0</v>
      </c>
      <c r="K26" s="259">
        <f>ROUND($F$26+$H$26+$I$26+$J$26,2)</f>
        <v>37.38</v>
      </c>
      <c r="L26" s="267" t="s">
        <v>473</v>
      </c>
    </row>
    <row r="27" spans="1:12" ht="21">
      <c r="A27" s="253">
        <v>17</v>
      </c>
      <c r="B27" s="266" t="s">
        <v>417</v>
      </c>
      <c r="C27" s="255"/>
      <c r="D27" s="256"/>
      <c r="E27" s="253" t="s">
        <v>27</v>
      </c>
      <c r="F27" s="257">
        <v>490</v>
      </c>
      <c r="G27" s="258">
        <v>0</v>
      </c>
      <c r="H27" s="258">
        <v>0</v>
      </c>
      <c r="I27" s="258">
        <v>0</v>
      </c>
      <c r="J27" s="258">
        <v>0</v>
      </c>
      <c r="K27" s="259">
        <f>ROUND($F$27+$H$27+$I$27+$J$27,2)</f>
        <v>490</v>
      </c>
      <c r="L27" s="267" t="s">
        <v>391</v>
      </c>
    </row>
    <row r="28" spans="1:12" ht="21">
      <c r="A28" s="253">
        <v>19</v>
      </c>
      <c r="B28" s="233" t="s">
        <v>416</v>
      </c>
      <c r="C28" s="255"/>
      <c r="D28" s="256"/>
      <c r="E28" s="253" t="s">
        <v>27</v>
      </c>
      <c r="F28" s="265">
        <v>0</v>
      </c>
      <c r="G28" s="258">
        <v>0</v>
      </c>
      <c r="H28" s="258">
        <v>0</v>
      </c>
      <c r="I28" s="258">
        <v>0</v>
      </c>
      <c r="J28" s="258">
        <v>0</v>
      </c>
      <c r="K28" s="259">
        <f>ROUND($F$28+$H$28+$I$28+$J$28,2)</f>
        <v>0</v>
      </c>
      <c r="L28" s="267" t="s">
        <v>391</v>
      </c>
    </row>
    <row r="29" spans="1:12" ht="21">
      <c r="A29" s="253">
        <v>20</v>
      </c>
      <c r="B29" s="268" t="s">
        <v>415</v>
      </c>
      <c r="C29" s="255"/>
      <c r="D29" s="256"/>
      <c r="E29" s="253" t="s">
        <v>27</v>
      </c>
      <c r="F29" s="257">
        <v>430</v>
      </c>
      <c r="G29" s="258">
        <v>0</v>
      </c>
      <c r="H29" s="258">
        <v>0</v>
      </c>
      <c r="I29" s="258">
        <v>0</v>
      </c>
      <c r="J29" s="258">
        <v>0</v>
      </c>
      <c r="K29" s="259">
        <f>ROUND($F$29+$H$29+$I$29+$J$29,2)</f>
        <v>430</v>
      </c>
      <c r="L29" s="267" t="s">
        <v>391</v>
      </c>
    </row>
    <row r="30" spans="1:12" ht="21">
      <c r="A30" s="253">
        <v>21</v>
      </c>
      <c r="B30" s="268" t="s">
        <v>392</v>
      </c>
      <c r="C30" s="255"/>
      <c r="D30" s="256"/>
      <c r="E30" s="253" t="s">
        <v>12</v>
      </c>
      <c r="F30" s="265">
        <v>0</v>
      </c>
      <c r="G30" s="258">
        <v>0</v>
      </c>
      <c r="H30" s="258">
        <v>0</v>
      </c>
      <c r="I30" s="258">
        <v>0</v>
      </c>
      <c r="J30" s="258">
        <v>0</v>
      </c>
      <c r="K30" s="259">
        <f>ROUND($F$30+$H$30+$I$30+$J$30,2)</f>
        <v>0</v>
      </c>
      <c r="L30" s="260" t="s">
        <v>377</v>
      </c>
    </row>
    <row r="31" spans="1:12" ht="21">
      <c r="A31" s="253">
        <v>22</v>
      </c>
      <c r="B31" s="268" t="s">
        <v>393</v>
      </c>
      <c r="C31" s="255"/>
      <c r="D31" s="256"/>
      <c r="E31" s="253" t="s">
        <v>394</v>
      </c>
      <c r="F31" s="265">
        <v>0</v>
      </c>
      <c r="G31" s="258">
        <v>0</v>
      </c>
      <c r="H31" s="258">
        <v>0</v>
      </c>
      <c r="I31" s="258">
        <v>0</v>
      </c>
      <c r="J31" s="258">
        <v>0</v>
      </c>
      <c r="K31" s="259">
        <f>ROUND($F$31+$H$31+$I$31+$J$31,2)</f>
        <v>0</v>
      </c>
      <c r="L31" s="260" t="s">
        <v>377</v>
      </c>
    </row>
    <row r="32" spans="1:12" ht="21">
      <c r="A32" s="253">
        <v>23</v>
      </c>
      <c r="B32" s="268" t="s">
        <v>395</v>
      </c>
      <c r="C32" s="255"/>
      <c r="D32" s="256"/>
      <c r="E32" s="253" t="s">
        <v>396</v>
      </c>
      <c r="F32" s="265">
        <v>0</v>
      </c>
      <c r="G32" s="258">
        <v>0</v>
      </c>
      <c r="H32" s="258">
        <v>0</v>
      </c>
      <c r="I32" s="258">
        <v>0</v>
      </c>
      <c r="J32" s="258">
        <v>0</v>
      </c>
      <c r="K32" s="259">
        <f>ROUND($F$32+$H$32+$I$32+$J$32,2)</f>
        <v>0</v>
      </c>
      <c r="L32" s="260" t="s">
        <v>377</v>
      </c>
    </row>
    <row r="33" spans="1:12" ht="21">
      <c r="A33" s="253"/>
      <c r="B33" s="268"/>
      <c r="C33" s="255"/>
      <c r="D33" s="256"/>
      <c r="E33" s="253"/>
      <c r="F33" s="269"/>
      <c r="G33" s="258"/>
      <c r="H33" s="258"/>
      <c r="I33" s="258"/>
      <c r="J33" s="258"/>
      <c r="K33" s="259"/>
      <c r="L33" s="277"/>
    </row>
    <row r="34" spans="1:12" ht="21">
      <c r="A34" s="270"/>
      <c r="B34" s="271"/>
      <c r="C34" s="272"/>
      <c r="D34" s="273"/>
      <c r="E34" s="274"/>
      <c r="F34" s="275"/>
      <c r="G34" s="274"/>
      <c r="H34" s="274"/>
      <c r="I34" s="274"/>
      <c r="J34" s="274"/>
      <c r="K34" s="274"/>
      <c r="L34" s="278"/>
    </row>
    <row r="35" ht="21">
      <c r="A35" s="235"/>
    </row>
  </sheetData>
  <sheetProtection/>
  <mergeCells count="8">
    <mergeCell ref="A1:L1"/>
    <mergeCell ref="B8:D8"/>
    <mergeCell ref="A7:L7"/>
    <mergeCell ref="A2:L2"/>
    <mergeCell ref="A3:L3"/>
    <mergeCell ref="A4:L4"/>
    <mergeCell ref="A5:L5"/>
    <mergeCell ref="A6:L6"/>
  </mergeCells>
  <printOptions horizontalCentered="1"/>
  <pageMargins left="0.3937007874015748" right="0" top="0.3937007874015748" bottom="0.1968503937007874" header="0.31496062992125984" footer="0.31496062992125984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view="pageBreakPreview" zoomScaleSheetLayoutView="100" zoomScalePageLayoutView="0" workbookViewId="0" topLeftCell="A25">
      <selection activeCell="A33" sqref="A33:H33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8.28125" style="14" customWidth="1"/>
    <col min="4" max="4" width="13.8515625" style="78" customWidth="1"/>
    <col min="5" max="5" width="11.28125" style="14" customWidth="1"/>
    <col min="6" max="6" width="13.28125" style="14" customWidth="1"/>
    <col min="7" max="7" width="9.421875" style="14" customWidth="1"/>
    <col min="8" max="8" width="11.42187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352" t="s">
        <v>99</v>
      </c>
      <c r="B1" s="353"/>
      <c r="C1" s="353"/>
      <c r="D1" s="353"/>
      <c r="E1" s="353"/>
      <c r="F1" s="353"/>
      <c r="G1" s="353"/>
      <c r="H1" s="69" t="s">
        <v>100</v>
      </c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352" t="str">
        <f>'ล็อต 1'!A2:I2</f>
        <v>หน่วยงานเจ้าของโครงการ  :  องค์การบริการส่วนตำบลน้ำปั้ว  อำเภอเวียงสา  จังหวัดน่าน</v>
      </c>
      <c r="B2" s="353"/>
      <c r="C2" s="353"/>
      <c r="D2" s="353"/>
      <c r="E2" s="353"/>
      <c r="F2" s="353"/>
      <c r="G2" s="353"/>
      <c r="H2" s="401"/>
    </row>
    <row r="3" spans="1:8" ht="19.5">
      <c r="A3" s="352" t="str">
        <f>'ล็อต 1'!A3:I3</f>
        <v>กลุ่มงาน         :  กองช่าง  องค์การบริหารส่วนตำบลน้ำปั้ว</v>
      </c>
      <c r="B3" s="353"/>
      <c r="C3" s="353"/>
      <c r="D3" s="353"/>
      <c r="E3" s="353"/>
      <c r="F3" s="353"/>
      <c r="G3" s="353"/>
      <c r="H3" s="401"/>
    </row>
    <row r="4" spans="1:8" ht="19.5">
      <c r="A4" s="352" t="str">
        <f>โรงน้ำดื่ม!A4</f>
        <v>ชื่อโครงการ      : ก่อสร้างอาคารพร้อมระบบผลิตน้ำดื่มกำลังการผลิต ขนาด 250 ลิตร/ชั่วโมง</v>
      </c>
      <c r="B4" s="353"/>
      <c r="C4" s="353"/>
      <c r="D4" s="353"/>
      <c r="E4" s="353"/>
      <c r="F4" s="353"/>
      <c r="G4" s="353"/>
      <c r="H4" s="401"/>
    </row>
    <row r="5" spans="1:8" ht="19.5">
      <c r="A5" s="352" t="str">
        <f>โรงน้ำดื่ม!A5</f>
        <v>สถานที่ก่อสร้าง : บ้านน้ำปั้ว หมู่ที่ 4 ตำบลน้ำปั้ว  อำเภอเวียงสา  จังหวัดน่าน</v>
      </c>
      <c r="B5" s="353"/>
      <c r="C5" s="353"/>
      <c r="D5" s="353"/>
      <c r="E5" s="353"/>
      <c r="F5" s="353"/>
      <c r="G5" s="353"/>
      <c r="H5" s="401"/>
    </row>
    <row r="6" spans="1:8" ht="19.5">
      <c r="A6" s="352" t="str">
        <f>โรงน้ำดื่ม!A6</f>
        <v>ประมาณราคา   : วันที่  6   เดือน กุมภาพันธ์ พ.ศ.2560</v>
      </c>
      <c r="B6" s="353"/>
      <c r="C6" s="353"/>
      <c r="D6" s="353"/>
      <c r="E6" s="353"/>
      <c r="F6" s="353"/>
      <c r="G6" s="353"/>
      <c r="H6" s="401"/>
    </row>
    <row r="7" spans="1:8" ht="20.25" thickBot="1">
      <c r="A7" s="393" t="str">
        <f>'ล็อต 1'!A7:I7</f>
        <v>รายละเอียดแบบ :แบบองค์การบริหารส่วนตำบลน้ำปั้ว เลขที่ </v>
      </c>
      <c r="B7" s="394"/>
      <c r="C7" s="394"/>
      <c r="D7" s="394"/>
      <c r="E7" s="394"/>
      <c r="F7" s="394"/>
      <c r="G7" s="395" t="s">
        <v>163</v>
      </c>
      <c r="H7" s="396"/>
    </row>
    <row r="8" spans="1:8" ht="19.5">
      <c r="A8" s="397" t="s">
        <v>5</v>
      </c>
      <c r="B8" s="397" t="s">
        <v>0</v>
      </c>
      <c r="C8" s="397"/>
      <c r="D8" s="70" t="s">
        <v>63</v>
      </c>
      <c r="E8" s="46" t="s">
        <v>64</v>
      </c>
      <c r="F8" s="47" t="s">
        <v>34</v>
      </c>
      <c r="G8" s="397" t="s">
        <v>4</v>
      </c>
      <c r="H8" s="397"/>
    </row>
    <row r="9" spans="1:8" ht="20.25" thickBot="1">
      <c r="A9" s="398"/>
      <c r="B9" s="398"/>
      <c r="C9" s="398"/>
      <c r="D9" s="71" t="s">
        <v>65</v>
      </c>
      <c r="E9" s="37" t="s">
        <v>21</v>
      </c>
      <c r="F9" s="37" t="s">
        <v>21</v>
      </c>
      <c r="G9" s="398"/>
      <c r="H9" s="398"/>
    </row>
    <row r="10" spans="1:8" ht="20.25" thickTop="1">
      <c r="A10" s="15">
        <v>1</v>
      </c>
      <c r="B10" s="399" t="s">
        <v>253</v>
      </c>
      <c r="C10" s="400"/>
      <c r="D10" s="72">
        <f>โรงน้ำดื่ม!F102</f>
        <v>210561.28000000003</v>
      </c>
      <c r="E10" s="73">
        <v>1.3046</v>
      </c>
      <c r="F10" s="48">
        <f>1.3046*D10</f>
        <v>274698.245888</v>
      </c>
      <c r="G10" s="399" t="s">
        <v>66</v>
      </c>
      <c r="H10" s="400"/>
    </row>
    <row r="11" spans="1:8" ht="19.5">
      <c r="A11" s="17">
        <v>2</v>
      </c>
      <c r="B11" s="389" t="s">
        <v>251</v>
      </c>
      <c r="C11" s="390"/>
      <c r="D11" s="52">
        <f>โรงน้ำดื่ม!F103</f>
        <v>220600</v>
      </c>
      <c r="E11" s="74">
        <v>1</v>
      </c>
      <c r="F11" s="52">
        <f>D11</f>
        <v>220600</v>
      </c>
      <c r="G11" s="389" t="s">
        <v>155</v>
      </c>
      <c r="H11" s="390"/>
    </row>
    <row r="12" spans="1:8" ht="19.5">
      <c r="A12" s="17"/>
      <c r="B12" s="389"/>
      <c r="C12" s="390"/>
      <c r="D12" s="75"/>
      <c r="E12" s="51"/>
      <c r="F12" s="75"/>
      <c r="G12" s="389" t="s">
        <v>71</v>
      </c>
      <c r="H12" s="390"/>
    </row>
    <row r="13" spans="1:8" ht="19.5">
      <c r="A13" s="17"/>
      <c r="B13" s="366"/>
      <c r="C13" s="368"/>
      <c r="D13" s="75"/>
      <c r="E13" s="51"/>
      <c r="F13" s="50"/>
      <c r="G13" s="389" t="s">
        <v>154</v>
      </c>
      <c r="H13" s="390"/>
    </row>
    <row r="14" spans="1:8" ht="19.5">
      <c r="A14" s="50"/>
      <c r="B14" s="366"/>
      <c r="C14" s="368"/>
      <c r="D14" s="75"/>
      <c r="E14" s="51"/>
      <c r="F14" s="50"/>
      <c r="G14" s="389" t="s">
        <v>67</v>
      </c>
      <c r="H14" s="390"/>
    </row>
    <row r="15" spans="1:8" ht="19.5">
      <c r="A15" s="50"/>
      <c r="B15" s="366"/>
      <c r="C15" s="368"/>
      <c r="D15" s="75"/>
      <c r="E15" s="51"/>
      <c r="F15" s="50"/>
      <c r="G15" s="44" t="s">
        <v>249</v>
      </c>
      <c r="H15" s="45"/>
    </row>
    <row r="16" spans="1:8" ht="19.5">
      <c r="A16" s="50"/>
      <c r="B16" s="366"/>
      <c r="C16" s="368"/>
      <c r="D16" s="75"/>
      <c r="E16" s="51"/>
      <c r="F16" s="50"/>
      <c r="G16" s="389" t="s">
        <v>250</v>
      </c>
      <c r="H16" s="390"/>
    </row>
    <row r="17" spans="1:8" ht="19.5">
      <c r="A17" s="50"/>
      <c r="B17" s="366"/>
      <c r="C17" s="368"/>
      <c r="D17" s="75"/>
      <c r="E17" s="51"/>
      <c r="F17" s="50"/>
      <c r="G17" s="44" t="s">
        <v>251</v>
      </c>
      <c r="H17" s="45"/>
    </row>
    <row r="18" spans="1:8" ht="19.5">
      <c r="A18" s="50"/>
      <c r="B18" s="366"/>
      <c r="C18" s="368"/>
      <c r="D18" s="75"/>
      <c r="E18" s="51"/>
      <c r="F18" s="50"/>
      <c r="G18" s="389" t="s">
        <v>252</v>
      </c>
      <c r="H18" s="390"/>
    </row>
    <row r="19" spans="1:8" ht="19.5">
      <c r="A19" s="50"/>
      <c r="B19" s="366"/>
      <c r="C19" s="368"/>
      <c r="D19" s="75"/>
      <c r="E19" s="51"/>
      <c r="F19" s="50"/>
      <c r="G19" s="366"/>
      <c r="H19" s="368"/>
    </row>
    <row r="20" spans="1:8" ht="20.25" thickBot="1">
      <c r="A20" s="53"/>
      <c r="B20" s="391"/>
      <c r="C20" s="392"/>
      <c r="D20" s="76"/>
      <c r="E20" s="54"/>
      <c r="F20" s="53"/>
      <c r="G20" s="391"/>
      <c r="H20" s="392"/>
    </row>
    <row r="21" spans="1:8" ht="20.25" thickTop="1">
      <c r="A21" s="375" t="s">
        <v>34</v>
      </c>
      <c r="B21" s="376"/>
      <c r="C21" s="376"/>
      <c r="D21" s="376"/>
      <c r="E21" s="377"/>
      <c r="F21" s="77">
        <f>SUM(F10:F20)</f>
        <v>495298.245888</v>
      </c>
      <c r="G21" s="378" t="s">
        <v>101</v>
      </c>
      <c r="H21" s="379"/>
    </row>
    <row r="22" spans="1:8" ht="20.25" thickBot="1">
      <c r="A22" s="380" t="s">
        <v>94</v>
      </c>
      <c r="B22" s="381"/>
      <c r="C22" s="381"/>
      <c r="D22" s="381"/>
      <c r="E22" s="382"/>
      <c r="F22" s="55">
        <v>495000</v>
      </c>
      <c r="G22" s="383" t="s">
        <v>102</v>
      </c>
      <c r="H22" s="384"/>
    </row>
    <row r="23" spans="1:8" ht="24" customHeight="1" thickBot="1" thickTop="1">
      <c r="A23" s="56" t="s">
        <v>68</v>
      </c>
      <c r="B23" s="385" t="str">
        <f>CONCATENATE("(",_xlfn.BAHTTEXT(F22),")")</f>
        <v>(สี่แสนเก้าหมื่นห้าพันบาทถ้วน)</v>
      </c>
      <c r="C23" s="385"/>
      <c r="D23" s="385"/>
      <c r="E23" s="385"/>
      <c r="F23" s="386"/>
      <c r="G23" s="127"/>
      <c r="H23" s="128"/>
    </row>
    <row r="24" spans="1:8" ht="24" customHeight="1" thickBot="1" thickTop="1">
      <c r="A24" s="56" t="s">
        <v>156</v>
      </c>
      <c r="B24" s="127"/>
      <c r="C24" s="387"/>
      <c r="D24" s="387"/>
      <c r="E24" s="387"/>
      <c r="F24" s="387"/>
      <c r="G24" s="387"/>
      <c r="H24" s="388"/>
    </row>
    <row r="25" spans="1:8" ht="23.25" customHeight="1" thickTop="1">
      <c r="A25" s="372"/>
      <c r="B25" s="373"/>
      <c r="C25" s="373"/>
      <c r="D25" s="373"/>
      <c r="E25" s="373"/>
      <c r="F25" s="373"/>
      <c r="G25" s="373"/>
      <c r="H25" s="374"/>
    </row>
    <row r="26" spans="1:8" ht="19.5">
      <c r="A26" s="366"/>
      <c r="B26" s="367"/>
      <c r="C26" s="367"/>
      <c r="D26" s="367"/>
      <c r="E26" s="367"/>
      <c r="F26" s="367"/>
      <c r="G26" s="367"/>
      <c r="H26" s="368"/>
    </row>
    <row r="27" spans="1:8" ht="19.5">
      <c r="A27" s="366" t="s">
        <v>247</v>
      </c>
      <c r="B27" s="367"/>
      <c r="C27" s="367"/>
      <c r="D27" s="367"/>
      <c r="E27" s="367"/>
      <c r="F27" s="367"/>
      <c r="G27" s="367"/>
      <c r="H27" s="368"/>
    </row>
    <row r="28" spans="1:8" ht="19.5">
      <c r="A28" s="366" t="s">
        <v>103</v>
      </c>
      <c r="B28" s="367"/>
      <c r="C28" s="367"/>
      <c r="D28" s="367"/>
      <c r="E28" s="367"/>
      <c r="F28" s="367"/>
      <c r="G28" s="367"/>
      <c r="H28" s="368"/>
    </row>
    <row r="29" spans="1:8" ht="19.5">
      <c r="A29" s="366" t="s">
        <v>111</v>
      </c>
      <c r="B29" s="367"/>
      <c r="C29" s="367"/>
      <c r="D29" s="367"/>
      <c r="E29" s="367"/>
      <c r="F29" s="367"/>
      <c r="G29" s="367"/>
      <c r="H29" s="368"/>
    </row>
    <row r="30" spans="1:8" ht="19.5">
      <c r="A30" s="366"/>
      <c r="B30" s="367"/>
      <c r="C30" s="367"/>
      <c r="D30" s="367"/>
      <c r="E30" s="367"/>
      <c r="F30" s="367"/>
      <c r="G30" s="367"/>
      <c r="H30" s="368"/>
    </row>
    <row r="31" spans="1:8" ht="19.5">
      <c r="A31" s="366" t="s">
        <v>161</v>
      </c>
      <c r="B31" s="367"/>
      <c r="C31" s="367"/>
      <c r="D31" s="367"/>
      <c r="E31" s="367"/>
      <c r="F31" s="367"/>
      <c r="G31" s="367"/>
      <c r="H31" s="368"/>
    </row>
    <row r="32" spans="1:8" ht="19.5">
      <c r="A32" s="366" t="s">
        <v>157</v>
      </c>
      <c r="B32" s="367"/>
      <c r="C32" s="367"/>
      <c r="D32" s="367"/>
      <c r="E32" s="367"/>
      <c r="F32" s="367"/>
      <c r="G32" s="367"/>
      <c r="H32" s="368"/>
    </row>
    <row r="33" spans="1:8" ht="19.5">
      <c r="A33" s="366" t="s">
        <v>158</v>
      </c>
      <c r="B33" s="367"/>
      <c r="C33" s="367"/>
      <c r="D33" s="367"/>
      <c r="E33" s="367"/>
      <c r="F33" s="367"/>
      <c r="G33" s="367"/>
      <c r="H33" s="368"/>
    </row>
    <row r="34" spans="1:8" ht="19.5">
      <c r="A34" s="366"/>
      <c r="B34" s="367"/>
      <c r="C34" s="367"/>
      <c r="D34" s="367"/>
      <c r="E34" s="367"/>
      <c r="F34" s="367"/>
      <c r="G34" s="367"/>
      <c r="H34" s="368"/>
    </row>
    <row r="35" spans="1:9" ht="19.5">
      <c r="A35" s="366" t="s">
        <v>162</v>
      </c>
      <c r="B35" s="367"/>
      <c r="C35" s="367"/>
      <c r="D35" s="367"/>
      <c r="E35" s="367"/>
      <c r="F35" s="367"/>
      <c r="G35" s="367"/>
      <c r="H35" s="368"/>
      <c r="I35" s="57"/>
    </row>
    <row r="36" spans="1:8" ht="19.5">
      <c r="A36" s="366" t="s">
        <v>159</v>
      </c>
      <c r="B36" s="367"/>
      <c r="C36" s="367"/>
      <c r="D36" s="367"/>
      <c r="E36" s="367"/>
      <c r="F36" s="367"/>
      <c r="G36" s="367"/>
      <c r="H36" s="368"/>
    </row>
    <row r="37" spans="1:8" ht="19.5">
      <c r="A37" s="366" t="s">
        <v>160</v>
      </c>
      <c r="B37" s="367"/>
      <c r="C37" s="367"/>
      <c r="D37" s="367"/>
      <c r="E37" s="367"/>
      <c r="F37" s="367"/>
      <c r="G37" s="367"/>
      <c r="H37" s="368"/>
    </row>
    <row r="38" spans="1:8" ht="19.5">
      <c r="A38" s="18"/>
      <c r="B38" s="13"/>
      <c r="C38" s="13"/>
      <c r="D38" s="13"/>
      <c r="E38" s="13"/>
      <c r="F38" s="13"/>
      <c r="G38" s="13"/>
      <c r="H38" s="49"/>
    </row>
    <row r="39" spans="1:8" ht="19.5">
      <c r="A39" s="18"/>
      <c r="B39" s="13"/>
      <c r="C39" s="13"/>
      <c r="D39" s="13"/>
      <c r="E39" s="13"/>
      <c r="F39" s="13"/>
      <c r="G39" s="13"/>
      <c r="H39" s="49"/>
    </row>
    <row r="40" spans="1:8" ht="19.5">
      <c r="A40" s="366"/>
      <c r="B40" s="367"/>
      <c r="C40" s="367"/>
      <c r="D40" s="367"/>
      <c r="E40" s="367"/>
      <c r="F40" s="367"/>
      <c r="G40" s="367"/>
      <c r="H40" s="368"/>
    </row>
    <row r="41" spans="1:8" ht="19.5">
      <c r="A41" s="18"/>
      <c r="B41" s="13"/>
      <c r="C41" s="13"/>
      <c r="D41" s="13"/>
      <c r="E41" s="13"/>
      <c r="F41" s="13"/>
      <c r="G41" s="13"/>
      <c r="H41" s="49"/>
    </row>
    <row r="42" spans="1:8" ht="19.5">
      <c r="A42" s="369"/>
      <c r="B42" s="370"/>
      <c r="C42" s="370"/>
      <c r="D42" s="370"/>
      <c r="E42" s="370"/>
      <c r="F42" s="370"/>
      <c r="G42" s="370"/>
      <c r="H42" s="371"/>
    </row>
    <row r="43" spans="1:8" ht="19.5">
      <c r="A43" s="18"/>
      <c r="B43" s="13"/>
      <c r="C43" s="13"/>
      <c r="D43" s="13"/>
      <c r="E43" s="13"/>
      <c r="F43" s="13"/>
      <c r="G43" s="13"/>
      <c r="H43" s="49"/>
    </row>
    <row r="44" spans="1:8" ht="19.5">
      <c r="A44" s="18"/>
      <c r="B44" s="13"/>
      <c r="C44" s="13"/>
      <c r="D44" s="13"/>
      <c r="E44" s="13"/>
      <c r="F44" s="13"/>
      <c r="G44" s="13"/>
      <c r="H44" s="49"/>
    </row>
    <row r="45" spans="1:8" ht="19.5">
      <c r="A45" s="18"/>
      <c r="B45" s="13"/>
      <c r="C45" s="13"/>
      <c r="D45" s="13"/>
      <c r="E45" s="13"/>
      <c r="F45" s="13"/>
      <c r="G45" s="13"/>
      <c r="H45" s="49"/>
    </row>
    <row r="46" spans="1:6" ht="19.5">
      <c r="A46" s="18"/>
      <c r="B46" s="13"/>
      <c r="C46" s="13"/>
      <c r="D46" s="13"/>
      <c r="E46" s="13"/>
      <c r="F46" s="13"/>
    </row>
  </sheetData>
  <sheetProtection/>
  <mergeCells count="52">
    <mergeCell ref="A1:G1"/>
    <mergeCell ref="A2:H2"/>
    <mergeCell ref="A3:H3"/>
    <mergeCell ref="A4:H4"/>
    <mergeCell ref="A5:H5"/>
    <mergeCell ref="A6:H6"/>
    <mergeCell ref="A7:F7"/>
    <mergeCell ref="G7:H7"/>
    <mergeCell ref="A8:A9"/>
    <mergeCell ref="B8:C9"/>
    <mergeCell ref="G8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A21:E21"/>
    <mergeCell ref="G21:H21"/>
    <mergeCell ref="A22:E22"/>
    <mergeCell ref="G22:H22"/>
    <mergeCell ref="B23:F23"/>
    <mergeCell ref="C24:H24"/>
    <mergeCell ref="A25:H25"/>
    <mergeCell ref="A26:H26"/>
    <mergeCell ref="A27:H27"/>
    <mergeCell ref="A28:H28"/>
    <mergeCell ref="A29:H29"/>
    <mergeCell ref="A30:H30"/>
    <mergeCell ref="A37:H37"/>
    <mergeCell ref="A40:H40"/>
    <mergeCell ref="A42:H42"/>
    <mergeCell ref="A31:H31"/>
    <mergeCell ref="A32:H32"/>
    <mergeCell ref="A33:H33"/>
    <mergeCell ref="A34:H34"/>
    <mergeCell ref="A35:H35"/>
    <mergeCell ref="A36:H36"/>
  </mergeCells>
  <printOptions/>
  <pageMargins left="0.5905511811023623" right="0" top="0.3937007874015748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view="pageBreakPreview" zoomScaleSheetLayoutView="100" zoomScalePageLayoutView="0" workbookViewId="0" topLeftCell="A1">
      <selection activeCell="A8" sqref="A8:A9"/>
    </sheetView>
  </sheetViews>
  <sheetFormatPr defaultColWidth="9.140625" defaultRowHeight="21.75"/>
  <cols>
    <col min="1" max="1" width="9.28125" style="14" customWidth="1"/>
    <col min="2" max="2" width="14.7109375" style="14" customWidth="1"/>
    <col min="3" max="3" width="18.28125" style="14" customWidth="1"/>
    <col min="4" max="4" width="13.8515625" style="78" customWidth="1"/>
    <col min="5" max="5" width="11.28125" style="14" customWidth="1"/>
    <col min="6" max="6" width="13.28125" style="14" customWidth="1"/>
    <col min="7" max="7" width="9.421875" style="14" customWidth="1"/>
    <col min="8" max="8" width="11.421875" style="14" customWidth="1"/>
    <col min="9" max="17" width="10.7109375" style="14" customWidth="1"/>
    <col min="18" max="19" width="8.7109375" style="14" customWidth="1"/>
    <col min="20" max="16384" width="9.140625" style="14" customWidth="1"/>
  </cols>
  <sheetData>
    <row r="1" spans="1:256" ht="19.5">
      <c r="A1" s="352" t="s">
        <v>99</v>
      </c>
      <c r="B1" s="353"/>
      <c r="C1" s="353"/>
      <c r="D1" s="353"/>
      <c r="E1" s="353"/>
      <c r="F1" s="353"/>
      <c r="G1" s="353"/>
      <c r="H1" s="69" t="s">
        <v>100</v>
      </c>
      <c r="I1" s="43"/>
      <c r="J1" s="43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8" ht="19.5">
      <c r="A2" s="352" t="str">
        <f>'ล็อต 1'!A2:I2</f>
        <v>หน่วยงานเจ้าของโครงการ  :  องค์การบริการส่วนตำบลน้ำปั้ว  อำเภอเวียงสา  จังหวัดน่าน</v>
      </c>
      <c r="B2" s="353"/>
      <c r="C2" s="353"/>
      <c r="D2" s="353"/>
      <c r="E2" s="353"/>
      <c r="F2" s="353"/>
      <c r="G2" s="353"/>
      <c r="H2" s="401"/>
    </row>
    <row r="3" spans="1:8" ht="19.5">
      <c r="A3" s="352" t="str">
        <f>'ล็อต 1'!A3:I3</f>
        <v>กลุ่มงาน         :  กองช่าง  องค์การบริหารส่วนตำบลน้ำปั้ว</v>
      </c>
      <c r="B3" s="353"/>
      <c r="C3" s="353"/>
      <c r="D3" s="353"/>
      <c r="E3" s="353"/>
      <c r="F3" s="353"/>
      <c r="G3" s="353"/>
      <c r="H3" s="401"/>
    </row>
    <row r="4" spans="1:8" ht="19.5">
      <c r="A4" s="352" t="e">
        <f>#REF!</f>
        <v>#REF!</v>
      </c>
      <c r="B4" s="353"/>
      <c r="C4" s="353"/>
      <c r="D4" s="353"/>
      <c r="E4" s="353"/>
      <c r="F4" s="353"/>
      <c r="G4" s="353"/>
      <c r="H4" s="401"/>
    </row>
    <row r="5" spans="1:8" ht="19.5">
      <c r="A5" s="352" t="e">
        <f>#REF!</f>
        <v>#REF!</v>
      </c>
      <c r="B5" s="353"/>
      <c r="C5" s="353"/>
      <c r="D5" s="353"/>
      <c r="E5" s="353"/>
      <c r="F5" s="353"/>
      <c r="G5" s="353"/>
      <c r="H5" s="401"/>
    </row>
    <row r="6" spans="1:8" ht="19.5">
      <c r="A6" s="352" t="str">
        <f>โรงน้ำดื่ม!A6</f>
        <v>ประมาณราคา   : วันที่  6   เดือน กุมภาพันธ์ พ.ศ.2560</v>
      </c>
      <c r="B6" s="353"/>
      <c r="C6" s="353"/>
      <c r="D6" s="353"/>
      <c r="E6" s="353"/>
      <c r="F6" s="353"/>
      <c r="G6" s="353"/>
      <c r="H6" s="401"/>
    </row>
    <row r="7" spans="1:8" ht="20.25" thickBot="1">
      <c r="A7" s="393" t="str">
        <f>'ล็อต 1'!A7:I7</f>
        <v>รายละเอียดแบบ :แบบองค์การบริหารส่วนตำบลน้ำปั้ว เลขที่ </v>
      </c>
      <c r="B7" s="394"/>
      <c r="C7" s="394"/>
      <c r="D7" s="394"/>
      <c r="E7" s="394"/>
      <c r="F7" s="394"/>
      <c r="G7" s="395" t="s">
        <v>163</v>
      </c>
      <c r="H7" s="396"/>
    </row>
    <row r="8" spans="1:8" ht="19.5">
      <c r="A8" s="397" t="s">
        <v>5</v>
      </c>
      <c r="B8" s="397" t="s">
        <v>0</v>
      </c>
      <c r="C8" s="397"/>
      <c r="D8" s="70" t="s">
        <v>63</v>
      </c>
      <c r="E8" s="46" t="s">
        <v>64</v>
      </c>
      <c r="F8" s="47" t="s">
        <v>34</v>
      </c>
      <c r="G8" s="397" t="s">
        <v>4</v>
      </c>
      <c r="H8" s="397"/>
    </row>
    <row r="9" spans="1:8" ht="20.25" thickBot="1">
      <c r="A9" s="398"/>
      <c r="B9" s="398"/>
      <c r="C9" s="398"/>
      <c r="D9" s="71" t="s">
        <v>65</v>
      </c>
      <c r="E9" s="37" t="s">
        <v>21</v>
      </c>
      <c r="F9" s="37" t="s">
        <v>21</v>
      </c>
      <c r="G9" s="398"/>
      <c r="H9" s="398"/>
    </row>
    <row r="10" spans="1:8" ht="20.25" thickTop="1">
      <c r="A10" s="15">
        <v>1</v>
      </c>
      <c r="B10" s="399" t="s">
        <v>253</v>
      </c>
      <c r="C10" s="400"/>
      <c r="D10" s="72" t="e">
        <f>#REF!</f>
        <v>#REF!</v>
      </c>
      <c r="E10" s="73">
        <v>1.3046</v>
      </c>
      <c r="F10" s="48" t="e">
        <f>1.3046*D10</f>
        <v>#REF!</v>
      </c>
      <c r="G10" s="399" t="s">
        <v>66</v>
      </c>
      <c r="H10" s="400"/>
    </row>
    <row r="11" spans="1:8" ht="19.5">
      <c r="A11" s="17">
        <v>2</v>
      </c>
      <c r="B11" s="389" t="s">
        <v>251</v>
      </c>
      <c r="C11" s="390"/>
      <c r="D11" s="52" t="e">
        <f>#REF!</f>
        <v>#REF!</v>
      </c>
      <c r="E11" s="74">
        <v>1</v>
      </c>
      <c r="F11" s="52" t="e">
        <f>D11</f>
        <v>#REF!</v>
      </c>
      <c r="G11" s="389" t="s">
        <v>155</v>
      </c>
      <c r="H11" s="390"/>
    </row>
    <row r="12" spans="1:8" ht="19.5">
      <c r="A12" s="17"/>
      <c r="B12" s="389"/>
      <c r="C12" s="390"/>
      <c r="D12" s="75"/>
      <c r="E12" s="51"/>
      <c r="F12" s="75"/>
      <c r="G12" s="389" t="s">
        <v>71</v>
      </c>
      <c r="H12" s="390"/>
    </row>
    <row r="13" spans="1:8" ht="19.5">
      <c r="A13" s="17"/>
      <c r="B13" s="366"/>
      <c r="C13" s="368"/>
      <c r="D13" s="75"/>
      <c r="E13" s="51"/>
      <c r="F13" s="50"/>
      <c r="G13" s="389" t="s">
        <v>154</v>
      </c>
      <c r="H13" s="390"/>
    </row>
    <row r="14" spans="1:8" ht="19.5">
      <c r="A14" s="50"/>
      <c r="B14" s="366"/>
      <c r="C14" s="368"/>
      <c r="D14" s="75"/>
      <c r="E14" s="51"/>
      <c r="F14" s="50"/>
      <c r="G14" s="389" t="s">
        <v>67</v>
      </c>
      <c r="H14" s="390"/>
    </row>
    <row r="15" spans="1:8" ht="19.5">
      <c r="A15" s="50"/>
      <c r="B15" s="366"/>
      <c r="C15" s="368"/>
      <c r="D15" s="75"/>
      <c r="E15" s="51"/>
      <c r="F15" s="50"/>
      <c r="G15" s="44" t="s">
        <v>249</v>
      </c>
      <c r="H15" s="45"/>
    </row>
    <row r="16" spans="1:8" ht="19.5">
      <c r="A16" s="50"/>
      <c r="B16" s="366"/>
      <c r="C16" s="368"/>
      <c r="D16" s="75"/>
      <c r="E16" s="51"/>
      <c r="F16" s="50"/>
      <c r="G16" s="389" t="s">
        <v>250</v>
      </c>
      <c r="H16" s="390"/>
    </row>
    <row r="17" spans="1:8" ht="19.5">
      <c r="A17" s="50"/>
      <c r="B17" s="366"/>
      <c r="C17" s="368"/>
      <c r="D17" s="75"/>
      <c r="E17" s="51"/>
      <c r="F17" s="50"/>
      <c r="G17" s="44" t="s">
        <v>251</v>
      </c>
      <c r="H17" s="45"/>
    </row>
    <row r="18" spans="1:8" ht="19.5">
      <c r="A18" s="50"/>
      <c r="B18" s="366"/>
      <c r="C18" s="368"/>
      <c r="D18" s="75"/>
      <c r="E18" s="51"/>
      <c r="F18" s="50"/>
      <c r="G18" s="389" t="s">
        <v>252</v>
      </c>
      <c r="H18" s="390"/>
    </row>
    <row r="19" spans="1:8" ht="19.5">
      <c r="A19" s="50"/>
      <c r="B19" s="366"/>
      <c r="C19" s="368"/>
      <c r="D19" s="75"/>
      <c r="E19" s="51"/>
      <c r="F19" s="50"/>
      <c r="G19" s="366"/>
      <c r="H19" s="368"/>
    </row>
    <row r="20" spans="1:8" ht="20.25" thickBot="1">
      <c r="A20" s="53"/>
      <c r="B20" s="391"/>
      <c r="C20" s="392"/>
      <c r="D20" s="76"/>
      <c r="E20" s="54"/>
      <c r="F20" s="53"/>
      <c r="G20" s="391"/>
      <c r="H20" s="392"/>
    </row>
    <row r="21" spans="1:8" ht="20.25" thickTop="1">
      <c r="A21" s="375" t="s">
        <v>34</v>
      </c>
      <c r="B21" s="376"/>
      <c r="C21" s="376"/>
      <c r="D21" s="376"/>
      <c r="E21" s="377"/>
      <c r="F21" s="77" t="e">
        <f>SUM(F10:F20)</f>
        <v>#REF!</v>
      </c>
      <c r="G21" s="378" t="s">
        <v>101</v>
      </c>
      <c r="H21" s="379"/>
    </row>
    <row r="22" spans="1:8" ht="20.25" thickBot="1">
      <c r="A22" s="380" t="s">
        <v>94</v>
      </c>
      <c r="B22" s="381"/>
      <c r="C22" s="381"/>
      <c r="D22" s="381"/>
      <c r="E22" s="382"/>
      <c r="F22" s="55">
        <v>174500</v>
      </c>
      <c r="G22" s="383" t="s">
        <v>260</v>
      </c>
      <c r="H22" s="384"/>
    </row>
    <row r="23" spans="1:8" ht="24" customHeight="1" thickBot="1" thickTop="1">
      <c r="A23" s="56" t="s">
        <v>68</v>
      </c>
      <c r="B23" s="385" t="str">
        <f>CONCATENATE("(",_xlfn.BAHTTEXT(F22),")")</f>
        <v>(หนึ่งแสนเจ็ดหมื่นสี่พันห้าร้อยบาทถ้วน)</v>
      </c>
      <c r="C23" s="385"/>
      <c r="D23" s="385"/>
      <c r="E23" s="385"/>
      <c r="F23" s="386"/>
      <c r="G23" s="127"/>
      <c r="H23" s="128"/>
    </row>
    <row r="24" spans="1:8" ht="24" customHeight="1" thickBot="1" thickTop="1">
      <c r="A24" s="56" t="s">
        <v>156</v>
      </c>
      <c r="B24" s="127"/>
      <c r="C24" s="387"/>
      <c r="D24" s="387"/>
      <c r="E24" s="387"/>
      <c r="F24" s="387"/>
      <c r="G24" s="387"/>
      <c r="H24" s="388"/>
    </row>
    <row r="25" spans="1:8" ht="23.25" customHeight="1" thickTop="1">
      <c r="A25" s="372"/>
      <c r="B25" s="373"/>
      <c r="C25" s="373"/>
      <c r="D25" s="373"/>
      <c r="E25" s="373"/>
      <c r="F25" s="373"/>
      <c r="G25" s="373"/>
      <c r="H25" s="374"/>
    </row>
    <row r="26" spans="1:8" ht="19.5">
      <c r="A26" s="366"/>
      <c r="B26" s="367"/>
      <c r="C26" s="367"/>
      <c r="D26" s="367"/>
      <c r="E26" s="367"/>
      <c r="F26" s="367"/>
      <c r="G26" s="367"/>
      <c r="H26" s="368"/>
    </row>
    <row r="27" spans="1:8" ht="19.5">
      <c r="A27" s="366" t="s">
        <v>247</v>
      </c>
      <c r="B27" s="367"/>
      <c r="C27" s="367"/>
      <c r="D27" s="367"/>
      <c r="E27" s="367"/>
      <c r="F27" s="367"/>
      <c r="G27" s="367"/>
      <c r="H27" s="368"/>
    </row>
    <row r="28" spans="1:8" ht="19.5">
      <c r="A28" s="366" t="s">
        <v>103</v>
      </c>
      <c r="B28" s="367"/>
      <c r="C28" s="367"/>
      <c r="D28" s="367"/>
      <c r="E28" s="367"/>
      <c r="F28" s="367"/>
      <c r="G28" s="367"/>
      <c r="H28" s="368"/>
    </row>
    <row r="29" spans="1:8" ht="19.5">
      <c r="A29" s="366" t="s">
        <v>111</v>
      </c>
      <c r="B29" s="367"/>
      <c r="C29" s="367"/>
      <c r="D29" s="367"/>
      <c r="E29" s="367"/>
      <c r="F29" s="367"/>
      <c r="G29" s="367"/>
      <c r="H29" s="368"/>
    </row>
    <row r="30" spans="1:8" ht="19.5">
      <c r="A30" s="366"/>
      <c r="B30" s="367"/>
      <c r="C30" s="367"/>
      <c r="D30" s="367"/>
      <c r="E30" s="367"/>
      <c r="F30" s="367"/>
      <c r="G30" s="367"/>
      <c r="H30" s="368"/>
    </row>
    <row r="31" spans="1:8" ht="19.5">
      <c r="A31" s="366" t="s">
        <v>161</v>
      </c>
      <c r="B31" s="367"/>
      <c r="C31" s="367"/>
      <c r="D31" s="367"/>
      <c r="E31" s="367"/>
      <c r="F31" s="367"/>
      <c r="G31" s="367"/>
      <c r="H31" s="368"/>
    </row>
    <row r="32" spans="1:8" ht="19.5">
      <c r="A32" s="366" t="s">
        <v>157</v>
      </c>
      <c r="B32" s="367"/>
      <c r="C32" s="367"/>
      <c r="D32" s="367"/>
      <c r="E32" s="367"/>
      <c r="F32" s="367"/>
      <c r="G32" s="367"/>
      <c r="H32" s="368"/>
    </row>
    <row r="33" spans="1:8" ht="19.5">
      <c r="A33" s="366" t="s">
        <v>158</v>
      </c>
      <c r="B33" s="367"/>
      <c r="C33" s="367"/>
      <c r="D33" s="367"/>
      <c r="E33" s="367"/>
      <c r="F33" s="367"/>
      <c r="G33" s="367"/>
      <c r="H33" s="368"/>
    </row>
    <row r="34" spans="1:8" ht="19.5">
      <c r="A34" s="366"/>
      <c r="B34" s="367"/>
      <c r="C34" s="367"/>
      <c r="D34" s="367"/>
      <c r="E34" s="367"/>
      <c r="F34" s="367"/>
      <c r="G34" s="367"/>
      <c r="H34" s="368"/>
    </row>
    <row r="35" spans="1:9" ht="19.5">
      <c r="A35" s="366" t="s">
        <v>162</v>
      </c>
      <c r="B35" s="367"/>
      <c r="C35" s="367"/>
      <c r="D35" s="367"/>
      <c r="E35" s="367"/>
      <c r="F35" s="367"/>
      <c r="G35" s="367"/>
      <c r="H35" s="368"/>
      <c r="I35" s="57"/>
    </row>
    <row r="36" spans="1:8" ht="19.5">
      <c r="A36" s="366" t="s">
        <v>159</v>
      </c>
      <c r="B36" s="367"/>
      <c r="C36" s="367"/>
      <c r="D36" s="367"/>
      <c r="E36" s="367"/>
      <c r="F36" s="367"/>
      <c r="G36" s="367"/>
      <c r="H36" s="368"/>
    </row>
    <row r="37" spans="1:8" ht="19.5">
      <c r="A37" s="366" t="s">
        <v>160</v>
      </c>
      <c r="B37" s="367"/>
      <c r="C37" s="367"/>
      <c r="D37" s="367"/>
      <c r="E37" s="367"/>
      <c r="F37" s="367"/>
      <c r="G37" s="367"/>
      <c r="H37" s="368"/>
    </row>
    <row r="38" spans="1:8" ht="19.5">
      <c r="A38" s="18"/>
      <c r="B38" s="13"/>
      <c r="C38" s="13"/>
      <c r="D38" s="13"/>
      <c r="E38" s="13"/>
      <c r="F38" s="13"/>
      <c r="G38" s="13"/>
      <c r="H38" s="49"/>
    </row>
    <row r="39" spans="1:8" ht="19.5">
      <c r="A39" s="18"/>
      <c r="B39" s="13"/>
      <c r="C39" s="13"/>
      <c r="D39" s="13"/>
      <c r="E39" s="13"/>
      <c r="F39" s="13"/>
      <c r="G39" s="13"/>
      <c r="H39" s="49"/>
    </row>
    <row r="40" spans="1:8" ht="19.5">
      <c r="A40" s="366"/>
      <c r="B40" s="367"/>
      <c r="C40" s="367"/>
      <c r="D40" s="367"/>
      <c r="E40" s="367"/>
      <c r="F40" s="367"/>
      <c r="G40" s="367"/>
      <c r="H40" s="368"/>
    </row>
    <row r="41" spans="1:8" ht="19.5">
      <c r="A41" s="18"/>
      <c r="B41" s="13"/>
      <c r="C41" s="13"/>
      <c r="D41" s="13"/>
      <c r="E41" s="13"/>
      <c r="F41" s="13"/>
      <c r="G41" s="13"/>
      <c r="H41" s="49"/>
    </row>
    <row r="42" spans="1:8" ht="19.5">
      <c r="A42" s="369"/>
      <c r="B42" s="370"/>
      <c r="C42" s="370"/>
      <c r="D42" s="370"/>
      <c r="E42" s="370"/>
      <c r="F42" s="370"/>
      <c r="G42" s="370"/>
      <c r="H42" s="371"/>
    </row>
    <row r="43" spans="1:8" ht="19.5">
      <c r="A43" s="18"/>
      <c r="B43" s="13"/>
      <c r="C43" s="13"/>
      <c r="D43" s="13"/>
      <c r="E43" s="13"/>
      <c r="F43" s="13"/>
      <c r="G43" s="13"/>
      <c r="H43" s="49"/>
    </row>
    <row r="44" spans="1:8" ht="19.5">
      <c r="A44" s="18"/>
      <c r="B44" s="13"/>
      <c r="C44" s="13"/>
      <c r="D44" s="13"/>
      <c r="E44" s="13"/>
      <c r="F44" s="13"/>
      <c r="G44" s="13"/>
      <c r="H44" s="49"/>
    </row>
    <row r="45" spans="1:8" ht="19.5">
      <c r="A45" s="18"/>
      <c r="B45" s="13"/>
      <c r="C45" s="13"/>
      <c r="D45" s="13"/>
      <c r="E45" s="13"/>
      <c r="F45" s="13"/>
      <c r="G45" s="13"/>
      <c r="H45" s="49"/>
    </row>
    <row r="46" spans="1:6" ht="19.5">
      <c r="A46" s="18"/>
      <c r="B46" s="13"/>
      <c r="C46" s="13"/>
      <c r="D46" s="13"/>
      <c r="E46" s="13"/>
      <c r="F46" s="13"/>
    </row>
  </sheetData>
  <sheetProtection/>
  <mergeCells count="52">
    <mergeCell ref="A37:H37"/>
    <mergeCell ref="A40:H40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21:E21"/>
    <mergeCell ref="G21:H21"/>
    <mergeCell ref="A22:E22"/>
    <mergeCell ref="G22:H22"/>
    <mergeCell ref="B23:F23"/>
    <mergeCell ref="C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B16:C16"/>
    <mergeCell ref="G16:H16"/>
    <mergeCell ref="B17:C17"/>
    <mergeCell ref="B11:C11"/>
    <mergeCell ref="G11:H11"/>
    <mergeCell ref="B12:C12"/>
    <mergeCell ref="G12:H12"/>
    <mergeCell ref="B13:C13"/>
    <mergeCell ref="G13:H13"/>
    <mergeCell ref="A7:F7"/>
    <mergeCell ref="G7:H7"/>
    <mergeCell ref="A8:A9"/>
    <mergeCell ref="B8:C9"/>
    <mergeCell ref="G8:H9"/>
    <mergeCell ref="B10:C10"/>
    <mergeCell ref="G10:H10"/>
    <mergeCell ref="A1:G1"/>
    <mergeCell ref="A2:H2"/>
    <mergeCell ref="A3:H3"/>
    <mergeCell ref="A4:H4"/>
    <mergeCell ref="A5:H5"/>
    <mergeCell ref="A6:H6"/>
  </mergeCells>
  <printOptions/>
  <pageMargins left="0.5905511811023623" right="0" top="0.3937007874015748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8" zoomScaleNormal="75" zoomScaleSheetLayoutView="98" zoomScalePageLayoutView="0" workbookViewId="0" topLeftCell="A4">
      <selection activeCell="B15" sqref="B15"/>
    </sheetView>
  </sheetViews>
  <sheetFormatPr defaultColWidth="9.140625" defaultRowHeight="21.75"/>
  <cols>
    <col min="1" max="1" width="7.8515625" style="100" customWidth="1"/>
    <col min="2" max="2" width="44.28125" style="100" customWidth="1"/>
    <col min="3" max="3" width="9.28125" style="121" customWidth="1"/>
    <col min="4" max="4" width="8.28125" style="100" customWidth="1"/>
    <col min="5" max="6" width="12.140625" style="122" customWidth="1"/>
    <col min="7" max="7" width="12.140625" style="121" customWidth="1"/>
    <col min="8" max="8" width="12.421875" style="122" customWidth="1"/>
    <col min="9" max="9" width="15.28125" style="122" customWidth="1"/>
    <col min="10" max="10" width="16.57421875" style="100" customWidth="1"/>
    <col min="11" max="11" width="4.140625" style="100" hidden="1" customWidth="1"/>
    <col min="12" max="12" width="8.7109375" style="100" customWidth="1"/>
    <col min="13" max="16384" width="9.140625" style="100" customWidth="1"/>
  </cols>
  <sheetData>
    <row r="1" spans="1:10" ht="19.5">
      <c r="A1" s="345" t="s">
        <v>53</v>
      </c>
      <c r="B1" s="346"/>
      <c r="C1" s="346"/>
      <c r="D1" s="346"/>
      <c r="E1" s="346"/>
      <c r="F1" s="346"/>
      <c r="G1" s="346"/>
      <c r="H1" s="346"/>
      <c r="I1" s="346"/>
      <c r="J1" s="347"/>
    </row>
    <row r="2" spans="1:10" ht="19.5">
      <c r="A2" s="348" t="s">
        <v>113</v>
      </c>
      <c r="B2" s="349"/>
      <c r="C2" s="349"/>
      <c r="D2" s="349"/>
      <c r="E2" s="349"/>
      <c r="F2" s="349"/>
      <c r="G2" s="349"/>
      <c r="H2" s="349"/>
      <c r="I2" s="349"/>
      <c r="J2" s="101" t="s">
        <v>55</v>
      </c>
    </row>
    <row r="3" spans="1:10" ht="19.5">
      <c r="A3" s="350" t="s">
        <v>114</v>
      </c>
      <c r="B3" s="351"/>
      <c r="C3" s="351"/>
      <c r="D3" s="351"/>
      <c r="E3" s="351"/>
      <c r="F3" s="351"/>
      <c r="G3" s="351"/>
      <c r="H3" s="351"/>
      <c r="I3" s="351"/>
      <c r="J3" s="101" t="s">
        <v>97</v>
      </c>
    </row>
    <row r="4" spans="1:10" ht="19.5">
      <c r="A4" s="350" t="s">
        <v>152</v>
      </c>
      <c r="B4" s="351"/>
      <c r="C4" s="351"/>
      <c r="D4" s="351"/>
      <c r="E4" s="351"/>
      <c r="F4" s="351"/>
      <c r="G4" s="351"/>
      <c r="H4" s="351"/>
      <c r="I4" s="351"/>
      <c r="J4" s="102"/>
    </row>
    <row r="5" spans="1:10" ht="19.5">
      <c r="A5" s="350" t="s">
        <v>115</v>
      </c>
      <c r="B5" s="351"/>
      <c r="C5" s="351"/>
      <c r="D5" s="351"/>
      <c r="E5" s="351"/>
      <c r="F5" s="351"/>
      <c r="G5" s="351"/>
      <c r="H5" s="351"/>
      <c r="I5" s="351"/>
      <c r="J5" s="103"/>
    </row>
    <row r="6" spans="1:10" ht="19.5">
      <c r="A6" s="350" t="s">
        <v>172</v>
      </c>
      <c r="B6" s="351"/>
      <c r="C6" s="351"/>
      <c r="D6" s="351"/>
      <c r="E6" s="351"/>
      <c r="F6" s="351"/>
      <c r="G6" s="351"/>
      <c r="H6" s="351"/>
      <c r="I6" s="351"/>
      <c r="J6" s="103"/>
    </row>
    <row r="7" spans="1:10" ht="20.25" thickBot="1">
      <c r="A7" s="340" t="s">
        <v>116</v>
      </c>
      <c r="B7" s="341"/>
      <c r="C7" s="341"/>
      <c r="D7" s="341"/>
      <c r="E7" s="341"/>
      <c r="F7" s="341"/>
      <c r="G7" s="341"/>
      <c r="H7" s="341"/>
      <c r="I7" s="341"/>
      <c r="J7" s="104" t="s">
        <v>57</v>
      </c>
    </row>
    <row r="8" spans="1:10" ht="20.25" thickTop="1">
      <c r="A8" s="338" t="s">
        <v>5</v>
      </c>
      <c r="B8" s="338" t="s">
        <v>0</v>
      </c>
      <c r="C8" s="342" t="s">
        <v>1</v>
      </c>
      <c r="D8" s="338" t="s">
        <v>2</v>
      </c>
      <c r="E8" s="344" t="s">
        <v>58</v>
      </c>
      <c r="F8" s="344"/>
      <c r="G8" s="344" t="s">
        <v>59</v>
      </c>
      <c r="H8" s="344"/>
      <c r="I8" s="105" t="s">
        <v>25</v>
      </c>
      <c r="J8" s="338" t="s">
        <v>4</v>
      </c>
    </row>
    <row r="9" spans="1:10" ht="20.25" thickBot="1">
      <c r="A9" s="339"/>
      <c r="B9" s="339"/>
      <c r="C9" s="343"/>
      <c r="D9" s="339"/>
      <c r="E9" s="106" t="s">
        <v>19</v>
      </c>
      <c r="F9" s="106" t="s">
        <v>3</v>
      </c>
      <c r="G9" s="107" t="s">
        <v>19</v>
      </c>
      <c r="H9" s="106" t="s">
        <v>3</v>
      </c>
      <c r="I9" s="106" t="s">
        <v>21</v>
      </c>
      <c r="J9" s="339"/>
    </row>
    <row r="10" spans="1:10" ht="20.25" thickTop="1">
      <c r="A10" s="108"/>
      <c r="B10" s="123" t="s">
        <v>169</v>
      </c>
      <c r="C10" s="110"/>
      <c r="D10" s="108"/>
      <c r="E10" s="110"/>
      <c r="F10" s="111">
        <f aca="true" t="shared" si="0" ref="F10:F18">ROUND((C10*E10),2)</f>
        <v>0</v>
      </c>
      <c r="G10" s="110"/>
      <c r="H10" s="111">
        <f aca="true" t="shared" si="1" ref="H10:H18">ROUND((G10*C10),2)</f>
        <v>0</v>
      </c>
      <c r="I10" s="111">
        <f aca="true" t="shared" si="2" ref="I10:I18">ROUND((F10+H10),2)</f>
        <v>0</v>
      </c>
      <c r="J10" s="108"/>
    </row>
    <row r="11" spans="1:10" ht="19.5">
      <c r="A11" s="108">
        <v>2</v>
      </c>
      <c r="B11" s="113" t="s">
        <v>130</v>
      </c>
      <c r="C11" s="110">
        <v>110</v>
      </c>
      <c r="D11" s="108" t="s">
        <v>11</v>
      </c>
      <c r="E11" s="110"/>
      <c r="F11" s="111">
        <f t="shared" si="0"/>
        <v>0</v>
      </c>
      <c r="G11" s="110">
        <v>20.9</v>
      </c>
      <c r="H11" s="111">
        <f t="shared" si="1"/>
        <v>2299</v>
      </c>
      <c r="I11" s="111">
        <f t="shared" si="2"/>
        <v>2299</v>
      </c>
      <c r="J11" s="108"/>
    </row>
    <row r="12" spans="1:10" ht="19.5">
      <c r="A12" s="108">
        <v>3</v>
      </c>
      <c r="B12" s="113" t="s">
        <v>131</v>
      </c>
      <c r="C12" s="110">
        <v>60</v>
      </c>
      <c r="D12" s="108" t="s">
        <v>11</v>
      </c>
      <c r="E12" s="110">
        <v>145</v>
      </c>
      <c r="F12" s="111">
        <f t="shared" si="0"/>
        <v>8700</v>
      </c>
      <c r="G12" s="110"/>
      <c r="H12" s="111">
        <f t="shared" si="1"/>
        <v>0</v>
      </c>
      <c r="I12" s="111">
        <f t="shared" si="2"/>
        <v>8700</v>
      </c>
      <c r="J12" s="108"/>
    </row>
    <row r="13" spans="1:10" ht="19.5">
      <c r="A13" s="108">
        <v>4</v>
      </c>
      <c r="B13" s="113" t="s">
        <v>120</v>
      </c>
      <c r="C13" s="110">
        <v>18</v>
      </c>
      <c r="D13" s="108" t="s">
        <v>124</v>
      </c>
      <c r="E13" s="110">
        <v>1023</v>
      </c>
      <c r="F13" s="111">
        <f t="shared" si="0"/>
        <v>18414</v>
      </c>
      <c r="G13" s="110"/>
      <c r="H13" s="111">
        <f t="shared" si="1"/>
        <v>0</v>
      </c>
      <c r="I13" s="111">
        <f t="shared" si="2"/>
        <v>18414</v>
      </c>
      <c r="J13" s="108"/>
    </row>
    <row r="14" spans="1:10" ht="19.5">
      <c r="A14" s="108">
        <v>5</v>
      </c>
      <c r="B14" s="113" t="s">
        <v>121</v>
      </c>
      <c r="C14" s="110">
        <v>8</v>
      </c>
      <c r="D14" s="108" t="s">
        <v>124</v>
      </c>
      <c r="E14" s="110">
        <v>1475</v>
      </c>
      <c r="F14" s="111">
        <f t="shared" si="0"/>
        <v>11800</v>
      </c>
      <c r="G14" s="110"/>
      <c r="H14" s="111">
        <f t="shared" si="1"/>
        <v>0</v>
      </c>
      <c r="I14" s="111">
        <f t="shared" si="2"/>
        <v>11800</v>
      </c>
      <c r="J14" s="108"/>
    </row>
    <row r="15" spans="1:10" ht="19.5">
      <c r="A15" s="108">
        <v>6</v>
      </c>
      <c r="B15" s="113" t="s">
        <v>122</v>
      </c>
      <c r="C15" s="110">
        <v>190</v>
      </c>
      <c r="D15" s="108" t="s">
        <v>12</v>
      </c>
      <c r="E15" s="110">
        <v>50</v>
      </c>
      <c r="F15" s="111">
        <f t="shared" si="0"/>
        <v>9500</v>
      </c>
      <c r="G15" s="110">
        <v>5</v>
      </c>
      <c r="H15" s="111">
        <f t="shared" si="1"/>
        <v>950</v>
      </c>
      <c r="I15" s="111">
        <f t="shared" si="2"/>
        <v>10450</v>
      </c>
      <c r="J15" s="108"/>
    </row>
    <row r="16" spans="1:10" ht="19.5">
      <c r="A16" s="108">
        <v>7</v>
      </c>
      <c r="B16" s="113" t="s">
        <v>123</v>
      </c>
      <c r="C16" s="110">
        <v>7.35</v>
      </c>
      <c r="D16" s="108" t="s">
        <v>11</v>
      </c>
      <c r="E16" s="110">
        <v>518</v>
      </c>
      <c r="F16" s="111">
        <f t="shared" si="0"/>
        <v>3807.3</v>
      </c>
      <c r="G16" s="110">
        <v>515</v>
      </c>
      <c r="H16" s="111">
        <f t="shared" si="1"/>
        <v>3785.25</v>
      </c>
      <c r="I16" s="111">
        <f t="shared" si="2"/>
        <v>7592.55</v>
      </c>
      <c r="J16" s="108"/>
    </row>
    <row r="17" spans="1:10" ht="19.5">
      <c r="A17" s="108">
        <v>8</v>
      </c>
      <c r="B17" s="113" t="s">
        <v>168</v>
      </c>
      <c r="C17" s="110">
        <v>5</v>
      </c>
      <c r="D17" s="108" t="s">
        <v>27</v>
      </c>
      <c r="E17" s="131">
        <v>1767</v>
      </c>
      <c r="F17" s="111">
        <f t="shared" si="0"/>
        <v>8835</v>
      </c>
      <c r="G17" s="110"/>
      <c r="H17" s="111">
        <f t="shared" si="1"/>
        <v>0</v>
      </c>
      <c r="I17" s="111">
        <f t="shared" si="2"/>
        <v>8835</v>
      </c>
      <c r="J17" s="108"/>
    </row>
    <row r="18" spans="1:10" ht="19.5">
      <c r="A18" s="108">
        <v>9</v>
      </c>
      <c r="B18" s="113" t="s">
        <v>126</v>
      </c>
      <c r="C18" s="110">
        <v>34</v>
      </c>
      <c r="D18" s="108" t="s">
        <v>11</v>
      </c>
      <c r="E18" s="110">
        <v>518</v>
      </c>
      <c r="F18" s="111">
        <f t="shared" si="0"/>
        <v>17612</v>
      </c>
      <c r="G18" s="110">
        <v>515</v>
      </c>
      <c r="H18" s="111">
        <f t="shared" si="1"/>
        <v>17510</v>
      </c>
      <c r="I18" s="111">
        <f t="shared" si="2"/>
        <v>35122</v>
      </c>
      <c r="J18" s="114">
        <f>SUM(I11:I18)</f>
        <v>103212.55</v>
      </c>
    </row>
    <row r="19" spans="1:10" ht="19.5">
      <c r="A19" s="108"/>
      <c r="B19" s="113"/>
      <c r="C19" s="110"/>
      <c r="D19" s="108"/>
      <c r="E19" s="110"/>
      <c r="F19" s="111"/>
      <c r="G19" s="110"/>
      <c r="H19" s="111"/>
      <c r="I19" s="111"/>
      <c r="J19" s="114"/>
    </row>
    <row r="20" spans="1:10" ht="19.5">
      <c r="A20" s="108"/>
      <c r="B20" s="113"/>
      <c r="C20" s="110"/>
      <c r="D20" s="108"/>
      <c r="E20" s="110"/>
      <c r="F20" s="111"/>
      <c r="G20" s="110"/>
      <c r="H20" s="111"/>
      <c r="I20" s="111"/>
      <c r="J20" s="114"/>
    </row>
    <row r="21" spans="1:10" ht="19.5">
      <c r="A21" s="108"/>
      <c r="B21" s="113"/>
      <c r="C21" s="110"/>
      <c r="D21" s="108"/>
      <c r="E21" s="110"/>
      <c r="F21" s="111"/>
      <c r="G21" s="110"/>
      <c r="H21" s="111"/>
      <c r="I21" s="111"/>
      <c r="J21" s="114"/>
    </row>
    <row r="22" spans="1:10" ht="19.5">
      <c r="A22" s="108"/>
      <c r="B22" s="113"/>
      <c r="C22" s="110"/>
      <c r="D22" s="108"/>
      <c r="E22" s="110"/>
      <c r="F22" s="111"/>
      <c r="G22" s="110"/>
      <c r="H22" s="111"/>
      <c r="I22" s="111"/>
      <c r="J22" s="108"/>
    </row>
    <row r="23" spans="1:10" ht="19.5">
      <c r="A23" s="108"/>
      <c r="B23" s="115" t="s">
        <v>89</v>
      </c>
      <c r="C23" s="110"/>
      <c r="D23" s="108"/>
      <c r="E23" s="110"/>
      <c r="F23" s="111"/>
      <c r="G23" s="110"/>
      <c r="H23" s="111"/>
      <c r="I23" s="111" t="e">
        <f>SUM(#REF!)</f>
        <v>#REF!</v>
      </c>
      <c r="J23" s="108"/>
    </row>
    <row r="24" spans="1:10" ht="19.5">
      <c r="A24" s="108"/>
      <c r="B24" s="115" t="s">
        <v>90</v>
      </c>
      <c r="C24" s="110"/>
      <c r="D24" s="108"/>
      <c r="E24" s="110"/>
      <c r="F24" s="111"/>
      <c r="G24" s="110"/>
      <c r="H24" s="111"/>
      <c r="I24" s="111" t="e">
        <f>SUM(#REF!)</f>
        <v>#REF!</v>
      </c>
      <c r="J24" s="108"/>
    </row>
    <row r="25" spans="1:10" ht="19.5">
      <c r="A25" s="108"/>
      <c r="B25" s="115" t="s">
        <v>91</v>
      </c>
      <c r="C25" s="110"/>
      <c r="D25" s="108"/>
      <c r="E25" s="110"/>
      <c r="F25" s="111"/>
      <c r="G25" s="110"/>
      <c r="H25" s="111"/>
      <c r="I25" s="111" t="e">
        <f>SUM(I23:I24)</f>
        <v>#REF!</v>
      </c>
      <c r="J25" s="108"/>
    </row>
    <row r="26" spans="1:10" ht="19.5">
      <c r="A26" s="108"/>
      <c r="B26" s="115" t="s">
        <v>153</v>
      </c>
      <c r="C26" s="110"/>
      <c r="D26" s="108"/>
      <c r="E26" s="110"/>
      <c r="F26" s="111"/>
      <c r="G26" s="110"/>
      <c r="H26" s="111"/>
      <c r="I26" s="111" t="e">
        <f>0.275*I25</f>
        <v>#REF!</v>
      </c>
      <c r="J26" s="108"/>
    </row>
    <row r="27" spans="1:10" ht="19.5">
      <c r="A27" s="108"/>
      <c r="B27" s="115" t="s">
        <v>34</v>
      </c>
      <c r="C27" s="110"/>
      <c r="D27" s="108"/>
      <c r="E27" s="110"/>
      <c r="F27" s="111"/>
      <c r="G27" s="110"/>
      <c r="H27" s="111"/>
      <c r="I27" s="111" t="e">
        <f>SUM(I25:I26)</f>
        <v>#REF!</v>
      </c>
      <c r="J27" s="108"/>
    </row>
    <row r="28" spans="1:10" ht="19.5">
      <c r="A28" s="108"/>
      <c r="B28" s="115" t="s">
        <v>94</v>
      </c>
      <c r="C28" s="110"/>
      <c r="D28" s="108"/>
      <c r="E28" s="110"/>
      <c r="F28" s="111"/>
      <c r="G28" s="110"/>
      <c r="H28" s="111"/>
      <c r="I28" s="111">
        <v>420000</v>
      </c>
      <c r="J28" s="108"/>
    </row>
    <row r="29" spans="1:10" ht="19.5">
      <c r="A29" s="108"/>
      <c r="B29" s="116"/>
      <c r="C29" s="110"/>
      <c r="D29" s="108"/>
      <c r="E29" s="110"/>
      <c r="F29" s="111"/>
      <c r="G29" s="110"/>
      <c r="H29" s="111"/>
      <c r="I29" s="111"/>
      <c r="J29" s="108"/>
    </row>
    <row r="30" spans="1:10" ht="19.5">
      <c r="A30" s="108"/>
      <c r="B30" s="113"/>
      <c r="C30" s="110"/>
      <c r="D30" s="108"/>
      <c r="E30" s="110"/>
      <c r="F30" s="111"/>
      <c r="G30" s="110"/>
      <c r="H30" s="111"/>
      <c r="I30" s="111"/>
      <c r="J30" s="108"/>
    </row>
    <row r="31" spans="1:10" ht="19.5">
      <c r="A31" s="108"/>
      <c r="B31" s="113"/>
      <c r="C31" s="110"/>
      <c r="D31" s="108"/>
      <c r="E31" s="110"/>
      <c r="F31" s="111"/>
      <c r="G31" s="110"/>
      <c r="H31" s="111"/>
      <c r="I31" s="111"/>
      <c r="J31" s="108"/>
    </row>
  </sheetData>
  <sheetProtection/>
  <mergeCells count="14">
    <mergeCell ref="J8:J9"/>
    <mergeCell ref="A7:I7"/>
    <mergeCell ref="A8:A9"/>
    <mergeCell ref="B8:B9"/>
    <mergeCell ref="C8:C9"/>
    <mergeCell ref="D8:D9"/>
    <mergeCell ref="E8:F8"/>
    <mergeCell ref="G8:H8"/>
    <mergeCell ref="A1:J1"/>
    <mergeCell ref="A2:I2"/>
    <mergeCell ref="A3:I3"/>
    <mergeCell ref="A4:I4"/>
    <mergeCell ref="A5:I5"/>
    <mergeCell ref="A6:I6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="98" zoomScaleNormal="75" zoomScaleSheetLayoutView="98" zoomScalePageLayoutView="0" workbookViewId="0" topLeftCell="A46">
      <selection activeCell="F33" sqref="F33"/>
    </sheetView>
  </sheetViews>
  <sheetFormatPr defaultColWidth="9.140625" defaultRowHeight="21.75"/>
  <cols>
    <col min="1" max="1" width="7.8515625" style="14" customWidth="1"/>
    <col min="2" max="2" width="44.28125" style="14" customWidth="1"/>
    <col min="3" max="3" width="9.28125" style="80" customWidth="1"/>
    <col min="4" max="4" width="8.28125" style="14" customWidth="1"/>
    <col min="5" max="6" width="12.140625" style="86" customWidth="1"/>
    <col min="7" max="7" width="12.140625" style="80" customWidth="1"/>
    <col min="8" max="8" width="12.421875" style="86" customWidth="1"/>
    <col min="9" max="9" width="15.28125" style="86" customWidth="1"/>
    <col min="10" max="10" width="16.57421875" style="14" customWidth="1"/>
    <col min="11" max="11" width="4.140625" style="14" hidden="1" customWidth="1"/>
    <col min="12" max="12" width="8.7109375" style="14" customWidth="1"/>
    <col min="13" max="16384" width="9.140625" style="14" customWidth="1"/>
  </cols>
  <sheetData>
    <row r="1" spans="1:10" ht="19.5">
      <c r="A1" s="359" t="s">
        <v>53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ht="19.5">
      <c r="A2" s="362" t="s">
        <v>113</v>
      </c>
      <c r="B2" s="363"/>
      <c r="C2" s="363"/>
      <c r="D2" s="363"/>
      <c r="E2" s="363"/>
      <c r="F2" s="363"/>
      <c r="G2" s="363"/>
      <c r="H2" s="363"/>
      <c r="I2" s="363"/>
      <c r="J2" s="33" t="s">
        <v>55</v>
      </c>
    </row>
    <row r="3" spans="1:10" ht="19.5">
      <c r="A3" s="352" t="s">
        <v>114</v>
      </c>
      <c r="B3" s="353"/>
      <c r="C3" s="353"/>
      <c r="D3" s="353"/>
      <c r="E3" s="353"/>
      <c r="F3" s="353"/>
      <c r="G3" s="353"/>
      <c r="H3" s="353"/>
      <c r="I3" s="353"/>
      <c r="J3" s="33" t="s">
        <v>97</v>
      </c>
    </row>
    <row r="4" spans="1:10" ht="19.5">
      <c r="A4" s="352" t="s">
        <v>129</v>
      </c>
      <c r="B4" s="353"/>
      <c r="C4" s="353"/>
      <c r="D4" s="353"/>
      <c r="E4" s="353"/>
      <c r="F4" s="353"/>
      <c r="G4" s="353"/>
      <c r="H4" s="353"/>
      <c r="I4" s="353"/>
      <c r="J4" s="34"/>
    </row>
    <row r="5" spans="1:10" ht="19.5">
      <c r="A5" s="352" t="s">
        <v>115</v>
      </c>
      <c r="B5" s="353"/>
      <c r="C5" s="353"/>
      <c r="D5" s="353"/>
      <c r="E5" s="353"/>
      <c r="F5" s="353"/>
      <c r="G5" s="353"/>
      <c r="H5" s="353"/>
      <c r="I5" s="353"/>
      <c r="J5" s="35"/>
    </row>
    <row r="6" spans="1:10" ht="19.5">
      <c r="A6" s="352" t="s">
        <v>112</v>
      </c>
      <c r="B6" s="353"/>
      <c r="C6" s="353"/>
      <c r="D6" s="353"/>
      <c r="E6" s="353"/>
      <c r="F6" s="353"/>
      <c r="G6" s="353"/>
      <c r="H6" s="353"/>
      <c r="I6" s="353"/>
      <c r="J6" s="35"/>
    </row>
    <row r="7" spans="1:10" ht="20.25" thickBot="1">
      <c r="A7" s="356" t="s">
        <v>116</v>
      </c>
      <c r="B7" s="357"/>
      <c r="C7" s="357"/>
      <c r="D7" s="357"/>
      <c r="E7" s="357"/>
      <c r="F7" s="357"/>
      <c r="G7" s="357"/>
      <c r="H7" s="357"/>
      <c r="I7" s="357"/>
      <c r="J7" s="36" t="s">
        <v>57</v>
      </c>
    </row>
    <row r="8" spans="1:10" ht="20.25" thickTop="1">
      <c r="A8" s="354" t="s">
        <v>5</v>
      </c>
      <c r="B8" s="354" t="s">
        <v>0</v>
      </c>
      <c r="C8" s="402" t="s">
        <v>1</v>
      </c>
      <c r="D8" s="354" t="s">
        <v>2</v>
      </c>
      <c r="E8" s="404" t="s">
        <v>58</v>
      </c>
      <c r="F8" s="404"/>
      <c r="G8" s="404" t="s">
        <v>59</v>
      </c>
      <c r="H8" s="404"/>
      <c r="I8" s="81" t="s">
        <v>25</v>
      </c>
      <c r="J8" s="354" t="s">
        <v>4</v>
      </c>
    </row>
    <row r="9" spans="1:10" ht="20.25" thickBot="1">
      <c r="A9" s="355"/>
      <c r="B9" s="355"/>
      <c r="C9" s="403"/>
      <c r="D9" s="355"/>
      <c r="E9" s="82" t="s">
        <v>19</v>
      </c>
      <c r="F9" s="82" t="s">
        <v>3</v>
      </c>
      <c r="G9" s="83" t="s">
        <v>19</v>
      </c>
      <c r="H9" s="82" t="s">
        <v>3</v>
      </c>
      <c r="I9" s="82" t="s">
        <v>21</v>
      </c>
      <c r="J9" s="355"/>
    </row>
    <row r="10" spans="1:10" s="94" customFormat="1" ht="20.25" thickTop="1">
      <c r="A10" s="95"/>
      <c r="B10" s="96" t="s">
        <v>149</v>
      </c>
      <c r="C10" s="97"/>
      <c r="D10" s="95"/>
      <c r="E10" s="98"/>
      <c r="F10" s="98"/>
      <c r="G10" s="99"/>
      <c r="H10" s="98"/>
      <c r="I10" s="98"/>
      <c r="J10" s="95"/>
    </row>
    <row r="11" spans="1:10" ht="19.5">
      <c r="A11" s="19">
        <v>1</v>
      </c>
      <c r="B11" s="20" t="s">
        <v>130</v>
      </c>
      <c r="C11" s="25">
        <v>97</v>
      </c>
      <c r="D11" s="19" t="s">
        <v>11</v>
      </c>
      <c r="E11" s="25"/>
      <c r="F11" s="23">
        <f>ROUND((C11*E11),2)</f>
        <v>0</v>
      </c>
      <c r="G11" s="25">
        <v>22.09</v>
      </c>
      <c r="H11" s="23">
        <f>ROUND((G11*C11),2)</f>
        <v>2142.73</v>
      </c>
      <c r="I11" s="23">
        <f>ROUND((F11+H11),2)</f>
        <v>2142.73</v>
      </c>
      <c r="J11" s="19"/>
    </row>
    <row r="12" spans="1:10" ht="19.5">
      <c r="A12" s="19">
        <v>2</v>
      </c>
      <c r="B12" s="20" t="s">
        <v>131</v>
      </c>
      <c r="C12" s="25">
        <v>73</v>
      </c>
      <c r="D12" s="19" t="s">
        <v>11</v>
      </c>
      <c r="E12" s="25">
        <v>140</v>
      </c>
      <c r="F12" s="23">
        <f aca="true" t="shared" si="0" ref="F12:F47">ROUND((C12*E12),2)</f>
        <v>10220</v>
      </c>
      <c r="G12" s="25"/>
      <c r="H12" s="23">
        <f aca="true" t="shared" si="1" ref="H12:H47">ROUND((G12*C12),2)</f>
        <v>0</v>
      </c>
      <c r="I12" s="23">
        <f aca="true" t="shared" si="2" ref="I12:I17">ROUND((F12+H12),2)</f>
        <v>10220</v>
      </c>
      <c r="J12" s="19"/>
    </row>
    <row r="13" spans="1:10" ht="19.5">
      <c r="A13" s="19">
        <v>3</v>
      </c>
      <c r="B13" s="20" t="s">
        <v>120</v>
      </c>
      <c r="C13" s="25">
        <v>44</v>
      </c>
      <c r="D13" s="19" t="s">
        <v>124</v>
      </c>
      <c r="E13" s="25">
        <v>1023</v>
      </c>
      <c r="F13" s="23">
        <f t="shared" si="0"/>
        <v>45012</v>
      </c>
      <c r="G13" s="25"/>
      <c r="H13" s="23">
        <f t="shared" si="1"/>
        <v>0</v>
      </c>
      <c r="I13" s="23">
        <f t="shared" si="2"/>
        <v>45012</v>
      </c>
      <c r="J13" s="19"/>
    </row>
    <row r="14" spans="1:10" ht="19.5">
      <c r="A14" s="19">
        <v>4</v>
      </c>
      <c r="B14" s="20" t="s">
        <v>122</v>
      </c>
      <c r="C14" s="25">
        <v>128</v>
      </c>
      <c r="D14" s="19" t="s">
        <v>12</v>
      </c>
      <c r="E14" s="25">
        <v>50</v>
      </c>
      <c r="F14" s="23">
        <f t="shared" si="0"/>
        <v>6400</v>
      </c>
      <c r="G14" s="25">
        <v>5</v>
      </c>
      <c r="H14" s="23">
        <f t="shared" si="1"/>
        <v>640</v>
      </c>
      <c r="I14" s="23">
        <f t="shared" si="2"/>
        <v>7040</v>
      </c>
      <c r="J14" s="19"/>
    </row>
    <row r="15" spans="1:10" ht="19.5">
      <c r="A15" s="19">
        <v>5</v>
      </c>
      <c r="B15" s="20" t="s">
        <v>133</v>
      </c>
      <c r="C15" s="25">
        <v>12</v>
      </c>
      <c r="D15" s="19" t="s">
        <v>27</v>
      </c>
      <c r="E15" s="25">
        <v>1767</v>
      </c>
      <c r="F15" s="23">
        <f t="shared" si="0"/>
        <v>21204</v>
      </c>
      <c r="G15" s="25"/>
      <c r="H15" s="23">
        <f t="shared" si="1"/>
        <v>0</v>
      </c>
      <c r="I15" s="23">
        <f t="shared" si="2"/>
        <v>21204</v>
      </c>
      <c r="J15" s="19"/>
    </row>
    <row r="16" spans="1:10" ht="19.5">
      <c r="A16" s="19">
        <v>6</v>
      </c>
      <c r="B16" s="20" t="s">
        <v>132</v>
      </c>
      <c r="C16" s="25">
        <v>4</v>
      </c>
      <c r="D16" s="19" t="s">
        <v>27</v>
      </c>
      <c r="E16" s="25">
        <v>0</v>
      </c>
      <c r="F16" s="23">
        <f t="shared" si="0"/>
        <v>0</v>
      </c>
      <c r="G16" s="25">
        <v>412</v>
      </c>
      <c r="H16" s="23">
        <f t="shared" si="1"/>
        <v>1648</v>
      </c>
      <c r="I16" s="23">
        <f t="shared" si="2"/>
        <v>1648</v>
      </c>
      <c r="J16" s="19"/>
    </row>
    <row r="17" spans="1:10" ht="19.5">
      <c r="A17" s="19">
        <v>7</v>
      </c>
      <c r="B17" s="20" t="s">
        <v>126</v>
      </c>
      <c r="C17" s="25">
        <v>44</v>
      </c>
      <c r="D17" s="19" t="s">
        <v>11</v>
      </c>
      <c r="E17" s="25">
        <v>518</v>
      </c>
      <c r="F17" s="23">
        <f t="shared" si="0"/>
        <v>22792</v>
      </c>
      <c r="G17" s="25">
        <v>515</v>
      </c>
      <c r="H17" s="23">
        <f t="shared" si="1"/>
        <v>22660</v>
      </c>
      <c r="I17" s="23">
        <f t="shared" si="2"/>
        <v>45452</v>
      </c>
      <c r="J17" s="64">
        <f>SUM(I11:I17)</f>
        <v>132718.72999999998</v>
      </c>
    </row>
    <row r="18" spans="1:10" s="94" customFormat="1" ht="19.5">
      <c r="A18" s="91"/>
      <c r="B18" s="96" t="s">
        <v>148</v>
      </c>
      <c r="C18" s="92"/>
      <c r="D18" s="91"/>
      <c r="E18" s="92"/>
      <c r="F18" s="93">
        <f t="shared" si="0"/>
        <v>0</v>
      </c>
      <c r="G18" s="92"/>
      <c r="H18" s="93">
        <f t="shared" si="1"/>
        <v>0</v>
      </c>
      <c r="I18" s="93"/>
      <c r="J18" s="91"/>
    </row>
    <row r="19" spans="1:10" ht="19.5">
      <c r="A19" s="17">
        <v>1</v>
      </c>
      <c r="B19" s="39" t="s">
        <v>117</v>
      </c>
      <c r="C19" s="79">
        <v>145</v>
      </c>
      <c r="D19" s="17" t="s">
        <v>12</v>
      </c>
      <c r="E19" s="84"/>
      <c r="F19" s="23">
        <f t="shared" si="0"/>
        <v>0</v>
      </c>
      <c r="G19" s="85">
        <v>3.54</v>
      </c>
      <c r="H19" s="23">
        <f t="shared" si="1"/>
        <v>513.3</v>
      </c>
      <c r="I19" s="23">
        <f>ROUND((F19+H19),2)</f>
        <v>513.3</v>
      </c>
      <c r="J19" s="39"/>
    </row>
    <row r="20" spans="1:10" ht="19.5">
      <c r="A20" s="19">
        <v>2</v>
      </c>
      <c r="B20" s="20" t="s">
        <v>130</v>
      </c>
      <c r="C20" s="25">
        <v>35</v>
      </c>
      <c r="D20" s="19" t="s">
        <v>11</v>
      </c>
      <c r="E20" s="25"/>
      <c r="F20" s="23">
        <f t="shared" si="0"/>
        <v>0</v>
      </c>
      <c r="G20" s="25">
        <v>20.9</v>
      </c>
      <c r="H20" s="23">
        <f t="shared" si="1"/>
        <v>731.5</v>
      </c>
      <c r="I20" s="23">
        <f>ROUND((F20+H20),2)</f>
        <v>731.5</v>
      </c>
      <c r="J20" s="19"/>
    </row>
    <row r="21" spans="1:10" ht="19.5">
      <c r="A21" s="19">
        <v>3</v>
      </c>
      <c r="B21" s="20" t="s">
        <v>131</v>
      </c>
      <c r="C21" s="25">
        <v>123</v>
      </c>
      <c r="D21" s="19" t="s">
        <v>11</v>
      </c>
      <c r="E21" s="25">
        <v>140</v>
      </c>
      <c r="F21" s="23">
        <f t="shared" si="0"/>
        <v>17220</v>
      </c>
      <c r="G21" s="25"/>
      <c r="H21" s="23">
        <f t="shared" si="1"/>
        <v>0</v>
      </c>
      <c r="I21" s="23">
        <f aca="true" t="shared" si="3" ref="I21:I27">ROUND((F21+H21),2)</f>
        <v>17220</v>
      </c>
      <c r="J21" s="19"/>
    </row>
    <row r="22" spans="1:10" ht="19.5">
      <c r="A22" s="19">
        <v>4</v>
      </c>
      <c r="B22" s="20" t="s">
        <v>120</v>
      </c>
      <c r="C22" s="25">
        <v>22</v>
      </c>
      <c r="D22" s="19" t="s">
        <v>124</v>
      </c>
      <c r="E22" s="25">
        <v>1023</v>
      </c>
      <c r="F22" s="23">
        <f t="shared" si="0"/>
        <v>22506</v>
      </c>
      <c r="G22" s="25"/>
      <c r="H22" s="23">
        <f t="shared" si="1"/>
        <v>0</v>
      </c>
      <c r="I22" s="23">
        <f t="shared" si="3"/>
        <v>22506</v>
      </c>
      <c r="J22" s="19"/>
    </row>
    <row r="23" spans="1:10" ht="19.5">
      <c r="A23" s="19">
        <v>5</v>
      </c>
      <c r="B23" s="20" t="s">
        <v>121</v>
      </c>
      <c r="C23" s="25">
        <v>20</v>
      </c>
      <c r="D23" s="19" t="s">
        <v>124</v>
      </c>
      <c r="E23" s="25">
        <v>1475</v>
      </c>
      <c r="F23" s="23">
        <f t="shared" si="0"/>
        <v>29500</v>
      </c>
      <c r="G23" s="25"/>
      <c r="H23" s="23">
        <f t="shared" si="1"/>
        <v>0</v>
      </c>
      <c r="I23" s="23">
        <f t="shared" si="3"/>
        <v>29500</v>
      </c>
      <c r="J23" s="19"/>
    </row>
    <row r="24" spans="1:10" ht="19.5">
      <c r="A24" s="19">
        <v>6</v>
      </c>
      <c r="B24" s="20" t="s">
        <v>122</v>
      </c>
      <c r="C24" s="25">
        <v>190</v>
      </c>
      <c r="D24" s="19" t="s">
        <v>12</v>
      </c>
      <c r="E24" s="25">
        <v>50</v>
      </c>
      <c r="F24" s="23">
        <f t="shared" si="0"/>
        <v>9500</v>
      </c>
      <c r="G24" s="25">
        <v>5</v>
      </c>
      <c r="H24" s="23">
        <f t="shared" si="1"/>
        <v>950</v>
      </c>
      <c r="I24" s="23">
        <f t="shared" si="3"/>
        <v>10450</v>
      </c>
      <c r="J24" s="19"/>
    </row>
    <row r="25" spans="1:10" ht="19.5">
      <c r="A25" s="19">
        <v>7</v>
      </c>
      <c r="B25" s="20" t="s">
        <v>123</v>
      </c>
      <c r="C25" s="25">
        <v>11</v>
      </c>
      <c r="D25" s="19" t="s">
        <v>11</v>
      </c>
      <c r="E25" s="25">
        <v>518</v>
      </c>
      <c r="F25" s="23">
        <f t="shared" si="0"/>
        <v>5698</v>
      </c>
      <c r="G25" s="25">
        <v>515</v>
      </c>
      <c r="H25" s="23">
        <f t="shared" si="1"/>
        <v>5665</v>
      </c>
      <c r="I25" s="23">
        <f t="shared" si="3"/>
        <v>11363</v>
      </c>
      <c r="J25" s="19"/>
    </row>
    <row r="26" spans="1:10" ht="19.5">
      <c r="A26" s="19">
        <v>8</v>
      </c>
      <c r="B26" s="20" t="s">
        <v>125</v>
      </c>
      <c r="C26" s="25">
        <v>10</v>
      </c>
      <c r="D26" s="19" t="s">
        <v>27</v>
      </c>
      <c r="E26" s="25">
        <v>1767</v>
      </c>
      <c r="F26" s="23">
        <f t="shared" si="0"/>
        <v>17670</v>
      </c>
      <c r="G26" s="25"/>
      <c r="H26" s="23">
        <f t="shared" si="1"/>
        <v>0</v>
      </c>
      <c r="I26" s="23">
        <f t="shared" si="3"/>
        <v>17670</v>
      </c>
      <c r="J26" s="19"/>
    </row>
    <row r="27" spans="1:10" ht="19.5">
      <c r="A27" s="19">
        <v>9</v>
      </c>
      <c r="B27" s="20" t="s">
        <v>126</v>
      </c>
      <c r="C27" s="25">
        <v>62</v>
      </c>
      <c r="D27" s="19" t="s">
        <v>11</v>
      </c>
      <c r="E27" s="25">
        <v>518</v>
      </c>
      <c r="F27" s="23">
        <f t="shared" si="0"/>
        <v>32116</v>
      </c>
      <c r="G27" s="25">
        <v>515</v>
      </c>
      <c r="H27" s="23">
        <f t="shared" si="1"/>
        <v>31930</v>
      </c>
      <c r="I27" s="23">
        <f t="shared" si="3"/>
        <v>64046</v>
      </c>
      <c r="J27" s="64">
        <f>SUM(I19:I27)</f>
        <v>173999.8</v>
      </c>
    </row>
    <row r="28" spans="1:10" s="94" customFormat="1" ht="19.5">
      <c r="A28" s="91"/>
      <c r="B28" s="96" t="s">
        <v>151</v>
      </c>
      <c r="C28" s="92"/>
      <c r="D28" s="91"/>
      <c r="E28" s="92"/>
      <c r="F28" s="93">
        <f t="shared" si="0"/>
        <v>0</v>
      </c>
      <c r="G28" s="92"/>
      <c r="H28" s="93">
        <f t="shared" si="1"/>
        <v>0</v>
      </c>
      <c r="I28" s="93"/>
      <c r="J28" s="91"/>
    </row>
    <row r="29" spans="1:10" ht="19.5">
      <c r="A29" s="17">
        <v>1</v>
      </c>
      <c r="B29" s="39" t="s">
        <v>128</v>
      </c>
      <c r="C29" s="79">
        <v>145</v>
      </c>
      <c r="D29" s="17" t="s">
        <v>12</v>
      </c>
      <c r="E29" s="84"/>
      <c r="F29" s="23">
        <f t="shared" si="0"/>
        <v>0</v>
      </c>
      <c r="G29" s="85">
        <v>1.65</v>
      </c>
      <c r="H29" s="23">
        <f t="shared" si="1"/>
        <v>239.25</v>
      </c>
      <c r="I29" s="23">
        <f>ROUND((F29+H29),2)</f>
        <v>239.25</v>
      </c>
      <c r="J29" s="39"/>
    </row>
    <row r="30" spans="1:10" ht="19.5">
      <c r="A30" s="19">
        <v>2</v>
      </c>
      <c r="B30" s="20" t="s">
        <v>118</v>
      </c>
      <c r="C30" s="25">
        <v>23</v>
      </c>
      <c r="D30" s="19" t="s">
        <v>11</v>
      </c>
      <c r="E30" s="25"/>
      <c r="F30" s="23">
        <f t="shared" si="0"/>
        <v>0</v>
      </c>
      <c r="G30" s="25">
        <v>0</v>
      </c>
      <c r="H30" s="23">
        <f t="shared" si="1"/>
        <v>0</v>
      </c>
      <c r="I30" s="23">
        <f>ROUND((F30+H30),2)</f>
        <v>0</v>
      </c>
      <c r="J30" s="19"/>
    </row>
    <row r="31" spans="1:10" ht="19.5">
      <c r="A31" s="19">
        <v>3</v>
      </c>
      <c r="B31" s="20" t="s">
        <v>119</v>
      </c>
      <c r="C31" s="25">
        <v>108</v>
      </c>
      <c r="D31" s="19" t="s">
        <v>11</v>
      </c>
      <c r="E31" s="25"/>
      <c r="F31" s="23">
        <f t="shared" si="0"/>
        <v>0</v>
      </c>
      <c r="G31" s="25"/>
      <c r="H31" s="23">
        <f t="shared" si="1"/>
        <v>0</v>
      </c>
      <c r="I31" s="23"/>
      <c r="J31" s="19"/>
    </row>
    <row r="32" spans="1:10" ht="19.5">
      <c r="A32" s="19">
        <v>4</v>
      </c>
      <c r="B32" s="20" t="s">
        <v>120</v>
      </c>
      <c r="C32" s="25">
        <v>22</v>
      </c>
      <c r="D32" s="19" t="s">
        <v>124</v>
      </c>
      <c r="E32" s="25"/>
      <c r="F32" s="23">
        <f t="shared" si="0"/>
        <v>0</v>
      </c>
      <c r="G32" s="25"/>
      <c r="H32" s="23">
        <f t="shared" si="1"/>
        <v>0</v>
      </c>
      <c r="I32" s="23"/>
      <c r="J32" s="19"/>
    </row>
    <row r="33" spans="1:10" ht="19.5">
      <c r="A33" s="19">
        <v>5</v>
      </c>
      <c r="B33" s="20" t="s">
        <v>121</v>
      </c>
      <c r="C33" s="25">
        <v>20</v>
      </c>
      <c r="D33" s="19" t="s">
        <v>124</v>
      </c>
      <c r="E33" s="25"/>
      <c r="F33" s="23">
        <f t="shared" si="0"/>
        <v>0</v>
      </c>
      <c r="G33" s="25"/>
      <c r="H33" s="23">
        <f t="shared" si="1"/>
        <v>0</v>
      </c>
      <c r="I33" s="23"/>
      <c r="J33" s="19"/>
    </row>
    <row r="34" spans="1:10" ht="19.5">
      <c r="A34" s="19">
        <v>6</v>
      </c>
      <c r="B34" s="20" t="s">
        <v>122</v>
      </c>
      <c r="C34" s="25">
        <v>190</v>
      </c>
      <c r="D34" s="19" t="s">
        <v>12</v>
      </c>
      <c r="E34" s="25"/>
      <c r="F34" s="23">
        <f t="shared" si="0"/>
        <v>0</v>
      </c>
      <c r="G34" s="25"/>
      <c r="H34" s="23">
        <f t="shared" si="1"/>
        <v>0</v>
      </c>
      <c r="I34" s="23"/>
      <c r="J34" s="19"/>
    </row>
    <row r="35" spans="1:10" ht="19.5">
      <c r="A35" s="19">
        <v>7</v>
      </c>
      <c r="B35" s="20" t="s">
        <v>123</v>
      </c>
      <c r="C35" s="25">
        <v>11</v>
      </c>
      <c r="D35" s="19" t="s">
        <v>11</v>
      </c>
      <c r="E35" s="25"/>
      <c r="F35" s="23">
        <f t="shared" si="0"/>
        <v>0</v>
      </c>
      <c r="G35" s="25"/>
      <c r="H35" s="23">
        <f t="shared" si="1"/>
        <v>0</v>
      </c>
      <c r="I35" s="23"/>
      <c r="J35" s="19"/>
    </row>
    <row r="36" spans="1:10" ht="19.5">
      <c r="A36" s="19">
        <v>8</v>
      </c>
      <c r="B36" s="20" t="s">
        <v>125</v>
      </c>
      <c r="C36" s="25">
        <v>10</v>
      </c>
      <c r="D36" s="19" t="s">
        <v>27</v>
      </c>
      <c r="E36" s="25"/>
      <c r="F36" s="23">
        <f t="shared" si="0"/>
        <v>0</v>
      </c>
      <c r="G36" s="25"/>
      <c r="H36" s="23">
        <f t="shared" si="1"/>
        <v>0</v>
      </c>
      <c r="I36" s="23"/>
      <c r="J36" s="19"/>
    </row>
    <row r="37" spans="1:10" ht="19.5">
      <c r="A37" s="19">
        <v>9</v>
      </c>
      <c r="B37" s="20" t="s">
        <v>126</v>
      </c>
      <c r="C37" s="25">
        <v>62</v>
      </c>
      <c r="D37" s="19" t="s">
        <v>11</v>
      </c>
      <c r="E37" s="25"/>
      <c r="F37" s="23">
        <f t="shared" si="0"/>
        <v>0</v>
      </c>
      <c r="G37" s="25"/>
      <c r="H37" s="23">
        <f t="shared" si="1"/>
        <v>0</v>
      </c>
      <c r="I37" s="23"/>
      <c r="J37" s="19"/>
    </row>
    <row r="38" spans="1:10" s="94" customFormat="1" ht="19.5">
      <c r="A38" s="91"/>
      <c r="B38" s="96" t="s">
        <v>150</v>
      </c>
      <c r="C38" s="92"/>
      <c r="D38" s="91"/>
      <c r="E38" s="92"/>
      <c r="F38" s="93">
        <f t="shared" si="0"/>
        <v>0</v>
      </c>
      <c r="G38" s="92"/>
      <c r="H38" s="93">
        <f t="shared" si="1"/>
        <v>0</v>
      </c>
      <c r="I38" s="93"/>
      <c r="J38" s="91"/>
    </row>
    <row r="39" spans="1:10" ht="19.5">
      <c r="A39" s="17">
        <v>1</v>
      </c>
      <c r="B39" s="39" t="s">
        <v>128</v>
      </c>
      <c r="C39" s="79">
        <v>145</v>
      </c>
      <c r="D39" s="17" t="s">
        <v>12</v>
      </c>
      <c r="E39" s="84"/>
      <c r="F39" s="23">
        <f t="shared" si="0"/>
        <v>0</v>
      </c>
      <c r="G39" s="85">
        <v>1.65</v>
      </c>
      <c r="H39" s="23">
        <f t="shared" si="1"/>
        <v>239.25</v>
      </c>
      <c r="I39" s="23">
        <f>ROUND((F39+H39),2)</f>
        <v>239.25</v>
      </c>
      <c r="J39" s="39"/>
    </row>
    <row r="40" spans="1:10" ht="19.5">
      <c r="A40" s="19">
        <v>2</v>
      </c>
      <c r="B40" s="20" t="s">
        <v>118</v>
      </c>
      <c r="C40" s="25">
        <v>23</v>
      </c>
      <c r="D40" s="19" t="s">
        <v>11</v>
      </c>
      <c r="E40" s="25"/>
      <c r="F40" s="23">
        <f t="shared" si="0"/>
        <v>0</v>
      </c>
      <c r="G40" s="25">
        <v>0</v>
      </c>
      <c r="H40" s="23">
        <f t="shared" si="1"/>
        <v>0</v>
      </c>
      <c r="I40" s="23">
        <f>ROUND((F40+H40),2)</f>
        <v>0</v>
      </c>
      <c r="J40" s="19"/>
    </row>
    <row r="41" spans="1:10" ht="19.5">
      <c r="A41" s="19">
        <v>3</v>
      </c>
      <c r="B41" s="20" t="s">
        <v>119</v>
      </c>
      <c r="C41" s="25">
        <v>108</v>
      </c>
      <c r="D41" s="19" t="s">
        <v>11</v>
      </c>
      <c r="E41" s="25"/>
      <c r="F41" s="23">
        <f t="shared" si="0"/>
        <v>0</v>
      </c>
      <c r="G41" s="25"/>
      <c r="H41" s="23">
        <f t="shared" si="1"/>
        <v>0</v>
      </c>
      <c r="I41" s="23"/>
      <c r="J41" s="19"/>
    </row>
    <row r="42" spans="1:10" ht="19.5">
      <c r="A42" s="19">
        <v>4</v>
      </c>
      <c r="B42" s="20" t="s">
        <v>120</v>
      </c>
      <c r="C42" s="25">
        <v>22</v>
      </c>
      <c r="D42" s="19" t="s">
        <v>124</v>
      </c>
      <c r="E42" s="25"/>
      <c r="F42" s="23">
        <f t="shared" si="0"/>
        <v>0</v>
      </c>
      <c r="G42" s="25"/>
      <c r="H42" s="23">
        <f t="shared" si="1"/>
        <v>0</v>
      </c>
      <c r="I42" s="23"/>
      <c r="J42" s="19"/>
    </row>
    <row r="43" spans="1:10" ht="19.5">
      <c r="A43" s="19">
        <v>5</v>
      </c>
      <c r="B43" s="20" t="s">
        <v>121</v>
      </c>
      <c r="C43" s="25">
        <v>20</v>
      </c>
      <c r="D43" s="19" t="s">
        <v>124</v>
      </c>
      <c r="E43" s="25"/>
      <c r="F43" s="23">
        <f t="shared" si="0"/>
        <v>0</v>
      </c>
      <c r="G43" s="25"/>
      <c r="H43" s="23">
        <f t="shared" si="1"/>
        <v>0</v>
      </c>
      <c r="I43" s="23"/>
      <c r="J43" s="19"/>
    </row>
    <row r="44" spans="1:10" ht="19.5">
      <c r="A44" s="19">
        <v>6</v>
      </c>
      <c r="B44" s="20" t="s">
        <v>122</v>
      </c>
      <c r="C44" s="25">
        <v>190</v>
      </c>
      <c r="D44" s="19" t="s">
        <v>12</v>
      </c>
      <c r="E44" s="25"/>
      <c r="F44" s="23">
        <f t="shared" si="0"/>
        <v>0</v>
      </c>
      <c r="G44" s="25"/>
      <c r="H44" s="23">
        <f t="shared" si="1"/>
        <v>0</v>
      </c>
      <c r="I44" s="23"/>
      <c r="J44" s="19"/>
    </row>
    <row r="45" spans="1:10" ht="19.5">
      <c r="A45" s="19">
        <v>7</v>
      </c>
      <c r="B45" s="20" t="s">
        <v>123</v>
      </c>
      <c r="C45" s="25">
        <v>11</v>
      </c>
      <c r="D45" s="19" t="s">
        <v>11</v>
      </c>
      <c r="E45" s="25"/>
      <c r="F45" s="23">
        <f t="shared" si="0"/>
        <v>0</v>
      </c>
      <c r="G45" s="25"/>
      <c r="H45" s="23">
        <f t="shared" si="1"/>
        <v>0</v>
      </c>
      <c r="I45" s="23"/>
      <c r="J45" s="19"/>
    </row>
    <row r="46" spans="1:10" ht="19.5">
      <c r="A46" s="19">
        <v>8</v>
      </c>
      <c r="B46" s="20" t="s">
        <v>125</v>
      </c>
      <c r="C46" s="25">
        <v>10</v>
      </c>
      <c r="D46" s="19" t="s">
        <v>27</v>
      </c>
      <c r="E46" s="25"/>
      <c r="F46" s="23">
        <f t="shared" si="0"/>
        <v>0</v>
      </c>
      <c r="G46" s="25"/>
      <c r="H46" s="23">
        <f t="shared" si="1"/>
        <v>0</v>
      </c>
      <c r="I46" s="23"/>
      <c r="J46" s="19"/>
    </row>
    <row r="47" spans="1:10" ht="19.5">
      <c r="A47" s="19">
        <v>9</v>
      </c>
      <c r="B47" s="20" t="s">
        <v>126</v>
      </c>
      <c r="C47" s="25">
        <v>62</v>
      </c>
      <c r="D47" s="19" t="s">
        <v>11</v>
      </c>
      <c r="E47" s="25"/>
      <c r="F47" s="23">
        <f t="shared" si="0"/>
        <v>0</v>
      </c>
      <c r="G47" s="25"/>
      <c r="H47" s="23">
        <f t="shared" si="1"/>
        <v>0</v>
      </c>
      <c r="I47" s="23"/>
      <c r="J47" s="19"/>
    </row>
    <row r="48" spans="1:10" ht="19.5">
      <c r="A48" s="19"/>
      <c r="B48" s="20"/>
      <c r="C48" s="25"/>
      <c r="D48" s="19"/>
      <c r="E48" s="25"/>
      <c r="F48" s="23"/>
      <c r="G48" s="25"/>
      <c r="H48" s="23"/>
      <c r="I48" s="23"/>
      <c r="J48" s="19"/>
    </row>
    <row r="49" spans="1:10" ht="19.5">
      <c r="A49" s="19"/>
      <c r="B49" s="67" t="s">
        <v>89</v>
      </c>
      <c r="C49" s="25"/>
      <c r="D49" s="19"/>
      <c r="E49" s="25"/>
      <c r="F49" s="23"/>
      <c r="G49" s="25"/>
      <c r="H49" s="23"/>
      <c r="I49" s="23">
        <f>SUM(F29:F34)</f>
        <v>0</v>
      </c>
      <c r="J49" s="19"/>
    </row>
    <row r="50" spans="1:10" ht="19.5">
      <c r="A50" s="19"/>
      <c r="B50" s="67" t="s">
        <v>90</v>
      </c>
      <c r="C50" s="25"/>
      <c r="D50" s="19"/>
      <c r="E50" s="25"/>
      <c r="F50" s="23"/>
      <c r="G50" s="25"/>
      <c r="H50" s="23"/>
      <c r="I50" s="23">
        <f>SUM(H29:H34)</f>
        <v>239.25</v>
      </c>
      <c r="J50" s="19"/>
    </row>
    <row r="51" spans="1:10" ht="19.5">
      <c r="A51" s="19"/>
      <c r="B51" s="67" t="s">
        <v>91</v>
      </c>
      <c r="C51" s="25"/>
      <c r="D51" s="19"/>
      <c r="E51" s="25"/>
      <c r="F51" s="23"/>
      <c r="G51" s="25"/>
      <c r="H51" s="23"/>
      <c r="I51" s="23">
        <f>SUM(I49:I50)</f>
        <v>239.25</v>
      </c>
      <c r="J51" s="19"/>
    </row>
    <row r="52" spans="1:10" ht="19.5">
      <c r="A52" s="19"/>
      <c r="B52" s="67" t="s">
        <v>92</v>
      </c>
      <c r="C52" s="25"/>
      <c r="D52" s="19"/>
      <c r="E52" s="25"/>
      <c r="F52" s="23"/>
      <c r="G52" s="25"/>
      <c r="H52" s="23"/>
      <c r="I52" s="23">
        <f>0.3365*I51</f>
        <v>80.507625</v>
      </c>
      <c r="J52" s="19"/>
    </row>
    <row r="53" spans="1:10" ht="19.5">
      <c r="A53" s="19"/>
      <c r="B53" s="67" t="s">
        <v>93</v>
      </c>
      <c r="C53" s="25"/>
      <c r="D53" s="19"/>
      <c r="E53" s="25"/>
      <c r="F53" s="23"/>
      <c r="G53" s="25"/>
      <c r="H53" s="23"/>
      <c r="I53" s="23">
        <v>3000</v>
      </c>
      <c r="J53" s="64"/>
    </row>
    <row r="54" spans="1:10" ht="19.5">
      <c r="A54" s="19"/>
      <c r="B54" s="67" t="s">
        <v>95</v>
      </c>
      <c r="C54" s="25"/>
      <c r="D54" s="19"/>
      <c r="E54" s="25"/>
      <c r="F54" s="23"/>
      <c r="G54" s="25"/>
      <c r="H54" s="23"/>
      <c r="I54" s="23">
        <f>SUM(I51:I53)</f>
        <v>3319.757625</v>
      </c>
      <c r="J54" s="19"/>
    </row>
    <row r="55" spans="1:10" ht="19.5">
      <c r="A55" s="19"/>
      <c r="B55" s="68" t="s">
        <v>94</v>
      </c>
      <c r="C55" s="25"/>
      <c r="D55" s="19"/>
      <c r="E55" s="25"/>
      <c r="F55" s="23"/>
      <c r="G55" s="25"/>
      <c r="H55" s="23"/>
      <c r="I55" s="23">
        <v>341000</v>
      </c>
      <c r="J55" s="19"/>
    </row>
    <row r="56" spans="1:10" ht="19.5">
      <c r="A56" s="19"/>
      <c r="B56" s="68"/>
      <c r="C56" s="25"/>
      <c r="D56" s="19"/>
      <c r="E56" s="25"/>
      <c r="F56" s="23"/>
      <c r="G56" s="25"/>
      <c r="H56" s="23"/>
      <c r="I56" s="23"/>
      <c r="J56" s="19"/>
    </row>
    <row r="57" spans="1:10" ht="19.5">
      <c r="A57" s="19"/>
      <c r="B57" s="20"/>
      <c r="C57" s="25"/>
      <c r="D57" s="19"/>
      <c r="E57" s="25"/>
      <c r="F57" s="23"/>
      <c r="G57" s="25"/>
      <c r="H57" s="23"/>
      <c r="I57" s="23"/>
      <c r="J57" s="19"/>
    </row>
    <row r="58" spans="1:10" ht="19.5">
      <c r="A58" s="19"/>
      <c r="B58" s="20"/>
      <c r="C58" s="25"/>
      <c r="D58" s="19"/>
      <c r="E58" s="25"/>
      <c r="F58" s="23"/>
      <c r="G58" s="25"/>
      <c r="H58" s="23"/>
      <c r="I58" s="23"/>
      <c r="J58" s="19"/>
    </row>
    <row r="59" spans="1:10" s="87" customFormat="1" ht="19.5">
      <c r="A59" s="88"/>
      <c r="B59" s="88"/>
      <c r="C59" s="89"/>
      <c r="D59" s="88"/>
      <c r="E59" s="89"/>
      <c r="F59" s="90"/>
      <c r="G59" s="89"/>
      <c r="H59" s="90"/>
      <c r="I59" s="90"/>
      <c r="J59" s="88"/>
    </row>
    <row r="60" spans="1:10" s="87" customFormat="1" ht="19.5">
      <c r="A60" s="88"/>
      <c r="B60" s="88"/>
      <c r="C60" s="89"/>
      <c r="D60" s="88"/>
      <c r="E60" s="89"/>
      <c r="F60" s="90"/>
      <c r="G60" s="89"/>
      <c r="H60" s="90"/>
      <c r="I60" s="90"/>
      <c r="J60" s="88"/>
    </row>
  </sheetData>
  <sheetProtection/>
  <mergeCells count="14">
    <mergeCell ref="A1:J1"/>
    <mergeCell ref="A2:I2"/>
    <mergeCell ref="A3:I3"/>
    <mergeCell ref="A4:I4"/>
    <mergeCell ref="A5:I5"/>
    <mergeCell ref="A6:I6"/>
    <mergeCell ref="J8:J9"/>
    <mergeCell ref="A7:I7"/>
    <mergeCell ref="A8:A9"/>
    <mergeCell ref="B8:B9"/>
    <mergeCell ref="C8:C9"/>
    <mergeCell ref="D8:D9"/>
    <mergeCell ref="E8:F8"/>
    <mergeCell ref="G8:H8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="98" zoomScaleNormal="75" zoomScaleSheetLayoutView="98" zoomScalePageLayoutView="0" workbookViewId="0" topLeftCell="A4">
      <selection activeCell="E50" sqref="E50"/>
    </sheetView>
  </sheetViews>
  <sheetFormatPr defaultColWidth="9.140625" defaultRowHeight="21.75"/>
  <cols>
    <col min="1" max="1" width="7.8515625" style="14" customWidth="1"/>
    <col min="2" max="2" width="44.28125" style="14" customWidth="1"/>
    <col min="3" max="3" width="9.28125" style="14" customWidth="1"/>
    <col min="4" max="4" width="8.28125" style="14" customWidth="1"/>
    <col min="5" max="6" width="12.140625" style="14" customWidth="1"/>
    <col min="7" max="7" width="12.140625" style="62" customWidth="1"/>
    <col min="8" max="8" width="12.421875" style="66" customWidth="1"/>
    <col min="9" max="9" width="15.28125" style="14" customWidth="1"/>
    <col min="10" max="10" width="16.57421875" style="14" customWidth="1"/>
    <col min="11" max="11" width="4.140625" style="14" hidden="1" customWidth="1"/>
    <col min="12" max="12" width="8.7109375" style="14" customWidth="1"/>
    <col min="13" max="16384" width="9.140625" style="14" customWidth="1"/>
  </cols>
  <sheetData>
    <row r="1" spans="1:10" ht="19.5">
      <c r="A1" s="359" t="s">
        <v>53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ht="19.5">
      <c r="A2" s="362" t="s">
        <v>54</v>
      </c>
      <c r="B2" s="363"/>
      <c r="C2" s="363"/>
      <c r="D2" s="363"/>
      <c r="E2" s="363"/>
      <c r="F2" s="363"/>
      <c r="G2" s="363"/>
      <c r="H2" s="363"/>
      <c r="I2" s="363"/>
      <c r="J2" s="33" t="s">
        <v>55</v>
      </c>
    </row>
    <row r="3" spans="1:10" ht="19.5">
      <c r="A3" s="352" t="s">
        <v>56</v>
      </c>
      <c r="B3" s="353"/>
      <c r="C3" s="353"/>
      <c r="D3" s="353"/>
      <c r="E3" s="353"/>
      <c r="F3" s="353"/>
      <c r="G3" s="353"/>
      <c r="H3" s="353"/>
      <c r="I3" s="353"/>
      <c r="J3" s="33" t="s">
        <v>97</v>
      </c>
    </row>
    <row r="4" spans="1:10" ht="19.5">
      <c r="A4" s="352" t="s">
        <v>87</v>
      </c>
      <c r="B4" s="353"/>
      <c r="C4" s="353"/>
      <c r="D4" s="353"/>
      <c r="E4" s="353"/>
      <c r="F4" s="353"/>
      <c r="G4" s="353"/>
      <c r="H4" s="353"/>
      <c r="I4" s="353"/>
      <c r="J4" s="34"/>
    </row>
    <row r="5" spans="1:10" ht="19.5">
      <c r="A5" s="352" t="s">
        <v>69</v>
      </c>
      <c r="B5" s="353"/>
      <c r="C5" s="353"/>
      <c r="D5" s="353"/>
      <c r="E5" s="353"/>
      <c r="F5" s="353"/>
      <c r="G5" s="353"/>
      <c r="H5" s="353"/>
      <c r="I5" s="353"/>
      <c r="J5" s="35"/>
    </row>
    <row r="6" spans="1:10" ht="19.5">
      <c r="A6" s="352" t="s">
        <v>104</v>
      </c>
      <c r="B6" s="353"/>
      <c r="C6" s="353"/>
      <c r="D6" s="353"/>
      <c r="E6" s="353"/>
      <c r="F6" s="353"/>
      <c r="G6" s="353"/>
      <c r="H6" s="353"/>
      <c r="I6" s="353"/>
      <c r="J6" s="35"/>
    </row>
    <row r="7" spans="1:10" ht="20.25" thickBot="1">
      <c r="A7" s="356" t="s">
        <v>61</v>
      </c>
      <c r="B7" s="357"/>
      <c r="C7" s="357"/>
      <c r="D7" s="357"/>
      <c r="E7" s="357"/>
      <c r="F7" s="357"/>
      <c r="G7" s="357"/>
      <c r="H7" s="357"/>
      <c r="I7" s="357"/>
      <c r="J7" s="36" t="s">
        <v>57</v>
      </c>
    </row>
    <row r="8" spans="1:10" ht="20.25" thickTop="1">
      <c r="A8" s="354" t="s">
        <v>5</v>
      </c>
      <c r="B8" s="354" t="s">
        <v>0</v>
      </c>
      <c r="C8" s="354" t="s">
        <v>1</v>
      </c>
      <c r="D8" s="354" t="s">
        <v>2</v>
      </c>
      <c r="E8" s="358" t="s">
        <v>58</v>
      </c>
      <c r="F8" s="358"/>
      <c r="G8" s="358" t="s">
        <v>59</v>
      </c>
      <c r="H8" s="358"/>
      <c r="I8" s="15" t="s">
        <v>25</v>
      </c>
      <c r="J8" s="354" t="s">
        <v>4</v>
      </c>
    </row>
    <row r="9" spans="1:10" ht="20.25" thickBot="1">
      <c r="A9" s="355"/>
      <c r="B9" s="355"/>
      <c r="C9" s="355"/>
      <c r="D9" s="355"/>
      <c r="E9" s="16" t="s">
        <v>19</v>
      </c>
      <c r="F9" s="16" t="s">
        <v>3</v>
      </c>
      <c r="G9" s="38" t="s">
        <v>19</v>
      </c>
      <c r="H9" s="63" t="s">
        <v>3</v>
      </c>
      <c r="I9" s="16" t="s">
        <v>21</v>
      </c>
      <c r="J9" s="355"/>
    </row>
    <row r="10" spans="1:10" ht="20.25" thickTop="1">
      <c r="A10" s="17">
        <v>1</v>
      </c>
      <c r="B10" s="39" t="s">
        <v>74</v>
      </c>
      <c r="C10" s="17">
        <v>160</v>
      </c>
      <c r="D10" s="17" t="s">
        <v>12</v>
      </c>
      <c r="E10" s="18"/>
      <c r="F10" s="23">
        <f aca="true" t="shared" si="0" ref="F10:F24">ROUND((C10*E10),2)</f>
        <v>0</v>
      </c>
      <c r="G10" s="58">
        <v>1.6</v>
      </c>
      <c r="H10" s="64">
        <f aca="true" t="shared" si="1" ref="H10:H24">ROUND((G10*C10),2)</f>
        <v>256</v>
      </c>
      <c r="I10" s="23">
        <f>ROUND((F10+H10),2)</f>
        <v>256</v>
      </c>
      <c r="J10" s="17"/>
    </row>
    <row r="11" spans="1:10" ht="19.5">
      <c r="A11" s="19">
        <v>2</v>
      </c>
      <c r="B11" s="20" t="s">
        <v>48</v>
      </c>
      <c r="C11" s="21">
        <v>8</v>
      </c>
      <c r="D11" s="19" t="s">
        <v>11</v>
      </c>
      <c r="E11" s="25">
        <v>671</v>
      </c>
      <c r="F11" s="23">
        <f t="shared" si="0"/>
        <v>5368</v>
      </c>
      <c r="G11" s="59">
        <v>0</v>
      </c>
      <c r="H11" s="64">
        <f t="shared" si="1"/>
        <v>0</v>
      </c>
      <c r="I11" s="23">
        <f>ROUND((F11+H11),2)</f>
        <v>5368</v>
      </c>
      <c r="J11" s="19"/>
    </row>
    <row r="12" spans="1:10" ht="19.5">
      <c r="A12" s="19">
        <v>3</v>
      </c>
      <c r="B12" s="20" t="s">
        <v>52</v>
      </c>
      <c r="C12" s="21"/>
      <c r="D12" s="19"/>
      <c r="E12" s="25"/>
      <c r="F12" s="23">
        <f t="shared" si="0"/>
        <v>0</v>
      </c>
      <c r="G12" s="60"/>
      <c r="H12" s="64">
        <f t="shared" si="1"/>
        <v>0</v>
      </c>
      <c r="I12" s="23">
        <f aca="true" t="shared" si="2" ref="I12:I24">ROUND((F12+H12),2)</f>
        <v>0</v>
      </c>
      <c r="J12" s="19"/>
    </row>
    <row r="13" spans="1:10" ht="19.5">
      <c r="A13" s="19"/>
      <c r="B13" s="20" t="s">
        <v>72</v>
      </c>
      <c r="C13" s="21">
        <v>160</v>
      </c>
      <c r="D13" s="19" t="s">
        <v>12</v>
      </c>
      <c r="E13" s="25"/>
      <c r="F13" s="23">
        <f t="shared" si="0"/>
        <v>0</v>
      </c>
      <c r="G13" s="60">
        <v>11.64</v>
      </c>
      <c r="H13" s="64">
        <f t="shared" si="1"/>
        <v>1862.4</v>
      </c>
      <c r="I13" s="23">
        <f t="shared" si="2"/>
        <v>1862.4</v>
      </c>
      <c r="J13" s="19"/>
    </row>
    <row r="14" spans="1:10" ht="19.5">
      <c r="A14" s="19"/>
      <c r="B14" s="20" t="s">
        <v>73</v>
      </c>
      <c r="C14" s="21">
        <v>24</v>
      </c>
      <c r="D14" s="19" t="s">
        <v>11</v>
      </c>
      <c r="E14" s="25">
        <v>2130</v>
      </c>
      <c r="F14" s="23">
        <f t="shared" si="0"/>
        <v>51120</v>
      </c>
      <c r="G14" s="60"/>
      <c r="H14" s="64">
        <f t="shared" si="1"/>
        <v>0</v>
      </c>
      <c r="I14" s="23">
        <f t="shared" si="2"/>
        <v>51120</v>
      </c>
      <c r="J14" s="19"/>
    </row>
    <row r="15" spans="1:10" ht="19.5">
      <c r="A15" s="19">
        <v>4</v>
      </c>
      <c r="B15" s="20" t="s">
        <v>75</v>
      </c>
      <c r="C15" s="21"/>
      <c r="D15" s="19"/>
      <c r="E15" s="25"/>
      <c r="F15" s="23">
        <f t="shared" si="0"/>
        <v>0</v>
      </c>
      <c r="G15" s="60"/>
      <c r="H15" s="64">
        <f t="shared" si="1"/>
        <v>0</v>
      </c>
      <c r="I15" s="23">
        <f t="shared" si="2"/>
        <v>0</v>
      </c>
      <c r="J15" s="19"/>
    </row>
    <row r="16" spans="1:10" ht="19.5">
      <c r="A16" s="19"/>
      <c r="B16" s="20" t="s">
        <v>76</v>
      </c>
      <c r="C16" s="23">
        <v>309</v>
      </c>
      <c r="D16" s="19" t="s">
        <v>26</v>
      </c>
      <c r="E16" s="22">
        <v>17.5</v>
      </c>
      <c r="F16" s="23">
        <f t="shared" si="0"/>
        <v>5407.5</v>
      </c>
      <c r="G16" s="59">
        <v>4.1</v>
      </c>
      <c r="H16" s="64">
        <f t="shared" si="1"/>
        <v>1266.9</v>
      </c>
      <c r="I16" s="23">
        <f t="shared" si="2"/>
        <v>6674.4</v>
      </c>
      <c r="J16" s="19"/>
    </row>
    <row r="17" spans="1:10" ht="19.5">
      <c r="A17" s="19">
        <v>5</v>
      </c>
      <c r="B17" s="20" t="s">
        <v>77</v>
      </c>
      <c r="C17" s="23"/>
      <c r="D17" s="19"/>
      <c r="E17" s="25"/>
      <c r="F17" s="23">
        <f t="shared" si="0"/>
        <v>0</v>
      </c>
      <c r="G17" s="59"/>
      <c r="H17" s="64">
        <f t="shared" si="1"/>
        <v>0</v>
      </c>
      <c r="I17" s="23">
        <f t="shared" si="2"/>
        <v>0</v>
      </c>
      <c r="J17" s="19"/>
    </row>
    <row r="18" spans="1:10" ht="19.5">
      <c r="A18" s="19"/>
      <c r="B18" s="20" t="s">
        <v>79</v>
      </c>
      <c r="C18" s="23">
        <v>12</v>
      </c>
      <c r="D18" s="19" t="s">
        <v>12</v>
      </c>
      <c r="E18" s="25">
        <v>210</v>
      </c>
      <c r="F18" s="23">
        <f t="shared" si="0"/>
        <v>2520</v>
      </c>
      <c r="G18" s="59"/>
      <c r="H18" s="64">
        <f t="shared" si="1"/>
        <v>0</v>
      </c>
      <c r="I18" s="23">
        <f t="shared" si="2"/>
        <v>2520</v>
      </c>
      <c r="J18" s="19"/>
    </row>
    <row r="19" spans="1:10" ht="19.5">
      <c r="A19" s="19"/>
      <c r="B19" s="20" t="s">
        <v>78</v>
      </c>
      <c r="C19" s="23">
        <v>40</v>
      </c>
      <c r="D19" s="19" t="s">
        <v>85</v>
      </c>
      <c r="E19" s="25"/>
      <c r="F19" s="23">
        <f t="shared" si="0"/>
        <v>0</v>
      </c>
      <c r="G19" s="59">
        <v>20.6</v>
      </c>
      <c r="H19" s="64">
        <f t="shared" si="1"/>
        <v>824</v>
      </c>
      <c r="I19" s="23">
        <f t="shared" si="2"/>
        <v>824</v>
      </c>
      <c r="J19" s="19"/>
    </row>
    <row r="20" spans="1:10" ht="19.5">
      <c r="A20" s="19">
        <v>6</v>
      </c>
      <c r="B20" s="20" t="s">
        <v>80</v>
      </c>
      <c r="C20" s="21"/>
      <c r="D20" s="19"/>
      <c r="E20" s="22"/>
      <c r="F20" s="23">
        <f t="shared" si="0"/>
        <v>0</v>
      </c>
      <c r="G20" s="59"/>
      <c r="H20" s="64">
        <f t="shared" si="1"/>
        <v>0</v>
      </c>
      <c r="I20" s="23">
        <f t="shared" si="2"/>
        <v>0</v>
      </c>
      <c r="J20" s="19"/>
    </row>
    <row r="21" spans="1:10" ht="19.5">
      <c r="A21" s="19"/>
      <c r="B21" s="20" t="s">
        <v>81</v>
      </c>
      <c r="C21" s="21">
        <v>28</v>
      </c>
      <c r="D21" s="19" t="s">
        <v>85</v>
      </c>
      <c r="E21" s="22">
        <v>40</v>
      </c>
      <c r="F21" s="23">
        <f t="shared" si="0"/>
        <v>1120</v>
      </c>
      <c r="G21" s="59"/>
      <c r="H21" s="64">
        <f t="shared" si="1"/>
        <v>0</v>
      </c>
      <c r="I21" s="23">
        <f t="shared" si="2"/>
        <v>1120</v>
      </c>
      <c r="J21" s="19"/>
    </row>
    <row r="22" spans="1:10" ht="19.5">
      <c r="A22" s="19"/>
      <c r="B22" s="20" t="s">
        <v>82</v>
      </c>
      <c r="C22" s="21">
        <v>0</v>
      </c>
      <c r="D22" s="19" t="s">
        <v>85</v>
      </c>
      <c r="E22" s="22">
        <v>85</v>
      </c>
      <c r="F22" s="23">
        <f t="shared" si="0"/>
        <v>0</v>
      </c>
      <c r="G22" s="59"/>
      <c r="H22" s="64">
        <f t="shared" si="1"/>
        <v>0</v>
      </c>
      <c r="I22" s="23">
        <f t="shared" si="2"/>
        <v>0</v>
      </c>
      <c r="J22" s="19"/>
    </row>
    <row r="23" spans="1:10" ht="19.5">
      <c r="A23" s="19"/>
      <c r="B23" s="20" t="s">
        <v>83</v>
      </c>
      <c r="C23" s="21">
        <v>40</v>
      </c>
      <c r="D23" s="19" t="s">
        <v>85</v>
      </c>
      <c r="E23" s="22">
        <v>34</v>
      </c>
      <c r="F23" s="23">
        <f t="shared" si="0"/>
        <v>1360</v>
      </c>
      <c r="G23" s="59"/>
      <c r="H23" s="64">
        <f t="shared" si="1"/>
        <v>0</v>
      </c>
      <c r="I23" s="23">
        <f t="shared" si="2"/>
        <v>1360</v>
      </c>
      <c r="J23" s="19"/>
    </row>
    <row r="24" spans="1:10" ht="19.5">
      <c r="A24" s="19"/>
      <c r="B24" s="20" t="s">
        <v>84</v>
      </c>
      <c r="C24" s="21">
        <v>6.4</v>
      </c>
      <c r="D24" s="19" t="s">
        <v>11</v>
      </c>
      <c r="E24" s="22">
        <v>100</v>
      </c>
      <c r="F24" s="23">
        <f t="shared" si="0"/>
        <v>640</v>
      </c>
      <c r="G24" s="59"/>
      <c r="H24" s="64">
        <f t="shared" si="1"/>
        <v>0</v>
      </c>
      <c r="I24" s="23">
        <f t="shared" si="2"/>
        <v>640</v>
      </c>
      <c r="J24" s="19"/>
    </row>
    <row r="25" spans="1:10" ht="19.5">
      <c r="A25" s="19"/>
      <c r="B25" s="20"/>
      <c r="C25" s="21"/>
      <c r="D25" s="19"/>
      <c r="E25" s="22"/>
      <c r="F25" s="23"/>
      <c r="G25" s="59"/>
      <c r="H25" s="64"/>
      <c r="I25" s="23"/>
      <c r="J25" s="19"/>
    </row>
    <row r="26" spans="1:10" ht="19.5">
      <c r="A26" s="19"/>
      <c r="B26" s="20"/>
      <c r="C26" s="21"/>
      <c r="D26" s="19"/>
      <c r="E26" s="22"/>
      <c r="F26" s="23"/>
      <c r="G26" s="59"/>
      <c r="H26" s="64"/>
      <c r="I26" s="23"/>
      <c r="J26" s="19"/>
    </row>
    <row r="27" spans="1:10" ht="19.5">
      <c r="A27" s="19"/>
      <c r="B27" s="20"/>
      <c r="C27" s="21"/>
      <c r="D27" s="19"/>
      <c r="E27" s="22"/>
      <c r="F27" s="23"/>
      <c r="G27" s="59"/>
      <c r="H27" s="64"/>
      <c r="I27" s="23"/>
      <c r="J27" s="19"/>
    </row>
    <row r="28" spans="1:10" ht="19.5">
      <c r="A28" s="19"/>
      <c r="B28" s="20"/>
      <c r="C28" s="21"/>
      <c r="D28" s="19"/>
      <c r="E28" s="22"/>
      <c r="F28" s="23"/>
      <c r="G28" s="59"/>
      <c r="H28" s="64"/>
      <c r="I28" s="23"/>
      <c r="J28" s="19"/>
    </row>
    <row r="29" spans="1:10" ht="19.5">
      <c r="A29" s="19"/>
      <c r="B29" s="20"/>
      <c r="C29" s="21"/>
      <c r="D29" s="19"/>
      <c r="E29" s="22"/>
      <c r="F29" s="23"/>
      <c r="G29" s="59"/>
      <c r="H29" s="64"/>
      <c r="I29" s="23"/>
      <c r="J29" s="19"/>
    </row>
    <row r="30" spans="1:10" ht="19.5">
      <c r="A30" s="359" t="s">
        <v>53</v>
      </c>
      <c r="B30" s="360"/>
      <c r="C30" s="360"/>
      <c r="D30" s="360"/>
      <c r="E30" s="360"/>
      <c r="F30" s="360"/>
      <c r="G30" s="360"/>
      <c r="H30" s="360"/>
      <c r="I30" s="360"/>
      <c r="J30" s="361"/>
    </row>
    <row r="31" spans="1:10" ht="19.5">
      <c r="A31" s="362" t="s">
        <v>54</v>
      </c>
      <c r="B31" s="363"/>
      <c r="C31" s="363"/>
      <c r="D31" s="363"/>
      <c r="E31" s="363"/>
      <c r="F31" s="363"/>
      <c r="G31" s="363"/>
      <c r="H31" s="363"/>
      <c r="I31" s="363"/>
      <c r="J31" s="33" t="s">
        <v>55</v>
      </c>
    </row>
    <row r="32" spans="1:10" ht="19.5">
      <c r="A32" s="352" t="s">
        <v>56</v>
      </c>
      <c r="B32" s="353"/>
      <c r="C32" s="353"/>
      <c r="D32" s="353"/>
      <c r="E32" s="353"/>
      <c r="F32" s="353"/>
      <c r="G32" s="353"/>
      <c r="H32" s="353"/>
      <c r="I32" s="353"/>
      <c r="J32" s="33" t="s">
        <v>98</v>
      </c>
    </row>
    <row r="33" spans="1:10" ht="19.5">
      <c r="A33" s="352" t="s">
        <v>87</v>
      </c>
      <c r="B33" s="353"/>
      <c r="C33" s="353"/>
      <c r="D33" s="353"/>
      <c r="E33" s="353"/>
      <c r="F33" s="353"/>
      <c r="G33" s="353"/>
      <c r="H33" s="353"/>
      <c r="I33" s="353"/>
      <c r="J33" s="34"/>
    </row>
    <row r="34" spans="1:10" ht="19.5">
      <c r="A34" s="352" t="s">
        <v>69</v>
      </c>
      <c r="B34" s="353"/>
      <c r="C34" s="353"/>
      <c r="D34" s="353"/>
      <c r="E34" s="353"/>
      <c r="F34" s="353"/>
      <c r="G34" s="353"/>
      <c r="H34" s="353"/>
      <c r="I34" s="353"/>
      <c r="J34" s="35"/>
    </row>
    <row r="35" spans="1:10" ht="19.5">
      <c r="A35" s="352" t="s">
        <v>105</v>
      </c>
      <c r="B35" s="353"/>
      <c r="C35" s="353"/>
      <c r="D35" s="353"/>
      <c r="E35" s="353"/>
      <c r="F35" s="353"/>
      <c r="G35" s="353"/>
      <c r="H35" s="353"/>
      <c r="I35" s="353"/>
      <c r="J35" s="35"/>
    </row>
    <row r="36" spans="1:10" ht="20.25" thickBot="1">
      <c r="A36" s="356" t="s">
        <v>61</v>
      </c>
      <c r="B36" s="357"/>
      <c r="C36" s="357"/>
      <c r="D36" s="357"/>
      <c r="E36" s="357"/>
      <c r="F36" s="357"/>
      <c r="G36" s="357"/>
      <c r="H36" s="357"/>
      <c r="I36" s="357"/>
      <c r="J36" s="36" t="s">
        <v>57</v>
      </c>
    </row>
    <row r="37" spans="1:10" ht="20.25" thickTop="1">
      <c r="A37" s="354" t="s">
        <v>5</v>
      </c>
      <c r="B37" s="354" t="s">
        <v>0</v>
      </c>
      <c r="C37" s="354" t="s">
        <v>1</v>
      </c>
      <c r="D37" s="354" t="s">
        <v>2</v>
      </c>
      <c r="E37" s="358" t="s">
        <v>58</v>
      </c>
      <c r="F37" s="358"/>
      <c r="G37" s="358" t="s">
        <v>59</v>
      </c>
      <c r="H37" s="358"/>
      <c r="I37" s="15" t="s">
        <v>25</v>
      </c>
      <c r="J37" s="354" t="s">
        <v>4</v>
      </c>
    </row>
    <row r="38" spans="1:10" ht="20.25" thickBot="1">
      <c r="A38" s="355"/>
      <c r="B38" s="355"/>
      <c r="C38" s="355"/>
      <c r="D38" s="355"/>
      <c r="E38" s="16" t="s">
        <v>19</v>
      </c>
      <c r="F38" s="16" t="s">
        <v>3</v>
      </c>
      <c r="G38" s="38" t="s">
        <v>19</v>
      </c>
      <c r="H38" s="63" t="s">
        <v>3</v>
      </c>
      <c r="I38" s="16" t="s">
        <v>21</v>
      </c>
      <c r="J38" s="355"/>
    </row>
    <row r="39" spans="1:10" ht="20.25" thickTop="1">
      <c r="A39" s="19"/>
      <c r="B39" s="20"/>
      <c r="C39" s="21"/>
      <c r="D39" s="19"/>
      <c r="E39" s="22"/>
      <c r="F39" s="23"/>
      <c r="G39" s="59"/>
      <c r="H39" s="64"/>
      <c r="I39" s="23"/>
      <c r="J39" s="19"/>
    </row>
    <row r="40" spans="1:10" ht="19.5">
      <c r="A40" s="19"/>
      <c r="B40" s="20"/>
      <c r="C40" s="21"/>
      <c r="D40" s="19"/>
      <c r="E40" s="22"/>
      <c r="F40" s="23"/>
      <c r="G40" s="59"/>
      <c r="H40" s="64"/>
      <c r="I40" s="23"/>
      <c r="J40" s="19"/>
    </row>
    <row r="41" spans="1:10" ht="19.5">
      <c r="A41" s="19"/>
      <c r="B41" s="67" t="s">
        <v>89</v>
      </c>
      <c r="C41" s="21"/>
      <c r="D41" s="19"/>
      <c r="E41" s="22"/>
      <c r="F41" s="23"/>
      <c r="G41" s="25"/>
      <c r="H41" s="24"/>
      <c r="I41" s="23">
        <f>SUM(F10:F26)</f>
        <v>67535.5</v>
      </c>
      <c r="J41" s="19"/>
    </row>
    <row r="42" spans="1:10" ht="19.5">
      <c r="A42" s="19"/>
      <c r="B42" s="67" t="s">
        <v>90</v>
      </c>
      <c r="C42" s="21"/>
      <c r="D42" s="19"/>
      <c r="E42" s="22"/>
      <c r="F42" s="23"/>
      <c r="G42" s="25"/>
      <c r="H42" s="24"/>
      <c r="I42" s="23">
        <f>SUM(H10:H25)</f>
        <v>4209.3</v>
      </c>
      <c r="J42" s="19"/>
    </row>
    <row r="43" spans="1:10" ht="19.5">
      <c r="A43" s="19"/>
      <c r="B43" s="67" t="s">
        <v>91</v>
      </c>
      <c r="C43" s="21"/>
      <c r="D43" s="19"/>
      <c r="E43" s="22"/>
      <c r="F43" s="23"/>
      <c r="G43" s="25"/>
      <c r="H43" s="24"/>
      <c r="I43" s="23">
        <f>SUM(I41:I42)</f>
        <v>71744.8</v>
      </c>
      <c r="J43" s="19"/>
    </row>
    <row r="44" spans="1:10" ht="19.5">
      <c r="A44" s="19"/>
      <c r="B44" s="67" t="s">
        <v>92</v>
      </c>
      <c r="C44" s="21"/>
      <c r="D44" s="19"/>
      <c r="E44" s="22"/>
      <c r="F44" s="23"/>
      <c r="G44" s="25"/>
      <c r="H44" s="24"/>
      <c r="I44" s="23">
        <f>0.3365*I43</f>
        <v>24142.125200000002</v>
      </c>
      <c r="J44" s="19"/>
    </row>
    <row r="45" spans="1:10" ht="19.5">
      <c r="A45" s="19"/>
      <c r="B45" s="67" t="s">
        <v>93</v>
      </c>
      <c r="C45" s="21"/>
      <c r="D45" s="19"/>
      <c r="E45" s="22"/>
      <c r="F45" s="23"/>
      <c r="G45" s="25"/>
      <c r="H45" s="24"/>
      <c r="I45" s="23">
        <v>3000</v>
      </c>
      <c r="J45" s="64"/>
    </row>
    <row r="46" spans="1:10" ht="19.5">
      <c r="A46" s="19"/>
      <c r="B46" s="67" t="s">
        <v>95</v>
      </c>
      <c r="C46" s="21"/>
      <c r="D46" s="19"/>
      <c r="E46" s="22"/>
      <c r="F46" s="23"/>
      <c r="G46" s="25"/>
      <c r="H46" s="24"/>
      <c r="I46" s="23">
        <f>SUM(I43:I45)</f>
        <v>98886.9252</v>
      </c>
      <c r="J46" s="19"/>
    </row>
    <row r="47" spans="1:10" ht="19.5">
      <c r="A47" s="19"/>
      <c r="B47" s="68" t="s">
        <v>94</v>
      </c>
      <c r="C47" s="21"/>
      <c r="D47" s="19"/>
      <c r="E47" s="22"/>
      <c r="F47" s="23"/>
      <c r="G47" s="25"/>
      <c r="H47" s="24"/>
      <c r="I47" s="23">
        <v>98800</v>
      </c>
      <c r="J47" s="19"/>
    </row>
    <row r="48" spans="1:10" ht="19.5">
      <c r="A48" s="19"/>
      <c r="B48" s="20"/>
      <c r="C48" s="21"/>
      <c r="D48" s="19"/>
      <c r="E48" s="22"/>
      <c r="F48" s="23"/>
      <c r="G48" s="59"/>
      <c r="H48" s="64"/>
      <c r="I48" s="23"/>
      <c r="J48" s="19"/>
    </row>
    <row r="49" spans="1:10" ht="19.5">
      <c r="A49" s="19"/>
      <c r="B49" s="20"/>
      <c r="C49" s="21"/>
      <c r="D49" s="19"/>
      <c r="E49" s="22"/>
      <c r="F49" s="23"/>
      <c r="G49" s="59"/>
      <c r="H49" s="64"/>
      <c r="I49" s="23"/>
      <c r="J49" s="19"/>
    </row>
    <row r="50" spans="1:10" ht="19.5">
      <c r="A50" s="19"/>
      <c r="B50" s="20"/>
      <c r="C50" s="21"/>
      <c r="D50" s="19"/>
      <c r="E50" s="22"/>
      <c r="F50" s="23"/>
      <c r="G50" s="59"/>
      <c r="H50" s="64"/>
      <c r="I50" s="23"/>
      <c r="J50" s="19"/>
    </row>
    <row r="51" spans="1:10" ht="19.5">
      <c r="A51" s="19"/>
      <c r="B51" s="20"/>
      <c r="C51" s="21"/>
      <c r="D51" s="19"/>
      <c r="E51" s="22"/>
      <c r="F51" s="23"/>
      <c r="G51" s="59"/>
      <c r="H51" s="64"/>
      <c r="I51" s="23"/>
      <c r="J51" s="19"/>
    </row>
    <row r="52" spans="1:10" ht="19.5">
      <c r="A52" s="19"/>
      <c r="B52" s="20"/>
      <c r="C52" s="21"/>
      <c r="D52" s="19"/>
      <c r="E52" s="22"/>
      <c r="F52" s="23"/>
      <c r="G52" s="59"/>
      <c r="H52" s="64"/>
      <c r="I52" s="23"/>
      <c r="J52" s="19"/>
    </row>
    <row r="53" spans="1:10" ht="19.5">
      <c r="A53" s="19"/>
      <c r="B53" s="20"/>
      <c r="C53" s="21"/>
      <c r="D53" s="19"/>
      <c r="E53" s="22"/>
      <c r="F53" s="23"/>
      <c r="G53" s="59"/>
      <c r="H53" s="64"/>
      <c r="I53" s="23"/>
      <c r="J53" s="19"/>
    </row>
    <row r="54" spans="1:10" ht="19.5">
      <c r="A54" s="19"/>
      <c r="B54" s="20"/>
      <c r="C54" s="21"/>
      <c r="D54" s="19"/>
      <c r="E54" s="22"/>
      <c r="F54" s="23"/>
      <c r="G54" s="59"/>
      <c r="H54" s="64">
        <f>ROUND((G54*C54),2)</f>
        <v>0</v>
      </c>
      <c r="I54" s="23"/>
      <c r="J54" s="19"/>
    </row>
    <row r="55" spans="1:10" ht="19.5">
      <c r="A55" s="19"/>
      <c r="B55" s="19"/>
      <c r="C55" s="21"/>
      <c r="D55" s="19"/>
      <c r="E55" s="22"/>
      <c r="F55" s="23"/>
      <c r="G55" s="59"/>
      <c r="H55" s="64"/>
      <c r="I55" s="23"/>
      <c r="J55" s="19"/>
    </row>
    <row r="56" spans="1:10" ht="19.5">
      <c r="A56" s="13"/>
      <c r="B56" s="26"/>
      <c r="C56" s="27"/>
      <c r="D56" s="26"/>
      <c r="E56" s="28"/>
      <c r="F56" s="29"/>
      <c r="G56" s="61"/>
      <c r="H56" s="65"/>
      <c r="I56" s="29"/>
      <c r="J56" s="13"/>
    </row>
    <row r="57" spans="1:10" ht="19.5">
      <c r="A57" s="13"/>
      <c r="B57" s="13"/>
      <c r="C57" s="31"/>
      <c r="D57" s="13"/>
      <c r="E57" s="28"/>
      <c r="F57" s="29"/>
      <c r="G57" s="61"/>
      <c r="H57" s="65"/>
      <c r="I57" s="29"/>
      <c r="J57" s="13"/>
    </row>
    <row r="58" spans="1:10" ht="19.5">
      <c r="A58" s="13"/>
      <c r="B58" s="13"/>
      <c r="C58" s="31"/>
      <c r="D58" s="13"/>
      <c r="E58" s="28"/>
      <c r="F58" s="29"/>
      <c r="G58" s="61"/>
      <c r="H58" s="65"/>
      <c r="I58" s="29"/>
      <c r="J58" s="13"/>
    </row>
    <row r="59" spans="1:10" ht="19.5">
      <c r="A59" s="13"/>
      <c r="B59" s="13"/>
      <c r="C59" s="31"/>
      <c r="D59" s="13"/>
      <c r="E59" s="28"/>
      <c r="F59" s="29"/>
      <c r="G59" s="61"/>
      <c r="H59" s="65"/>
      <c r="I59" s="29"/>
      <c r="J59" s="13"/>
    </row>
    <row r="60" spans="1:10" ht="19.5">
      <c r="A60" s="13"/>
      <c r="B60" s="13"/>
      <c r="C60" s="31"/>
      <c r="D60" s="13"/>
      <c r="E60" s="28"/>
      <c r="F60" s="29"/>
      <c r="G60" s="61"/>
      <c r="H60" s="65"/>
      <c r="I60" s="29"/>
      <c r="J60" s="13"/>
    </row>
    <row r="61" spans="1:10" ht="19.5">
      <c r="A61" s="13"/>
      <c r="B61" s="13"/>
      <c r="C61" s="31"/>
      <c r="D61" s="13"/>
      <c r="E61" s="28"/>
      <c r="F61" s="29"/>
      <c r="G61" s="61"/>
      <c r="H61" s="65"/>
      <c r="I61" s="29"/>
      <c r="J61" s="13"/>
    </row>
  </sheetData>
  <sheetProtection/>
  <mergeCells count="28">
    <mergeCell ref="J8:J9"/>
    <mergeCell ref="A7:I7"/>
    <mergeCell ref="A8:A9"/>
    <mergeCell ref="B8:B9"/>
    <mergeCell ref="C8:C9"/>
    <mergeCell ref="D8:D9"/>
    <mergeCell ref="E8:F8"/>
    <mergeCell ref="G8:H8"/>
    <mergeCell ref="A1:J1"/>
    <mergeCell ref="A2:I2"/>
    <mergeCell ref="A3:I3"/>
    <mergeCell ref="A4:I4"/>
    <mergeCell ref="A5:I5"/>
    <mergeCell ref="A6:I6"/>
    <mergeCell ref="A30:J30"/>
    <mergeCell ref="A31:I31"/>
    <mergeCell ref="A32:I32"/>
    <mergeCell ref="A33:I33"/>
    <mergeCell ref="A34:I34"/>
    <mergeCell ref="A35:I35"/>
    <mergeCell ref="J37:J38"/>
    <mergeCell ref="A36:I36"/>
    <mergeCell ref="A37:A38"/>
    <mergeCell ref="B37:B38"/>
    <mergeCell ref="C37:C38"/>
    <mergeCell ref="D37:D38"/>
    <mergeCell ref="E37:F37"/>
    <mergeCell ref="G37:H37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98" zoomScaleNormal="75" zoomScaleSheetLayoutView="98" zoomScalePageLayoutView="0" workbookViewId="0" topLeftCell="A19">
      <selection activeCell="I30" sqref="I30"/>
    </sheetView>
  </sheetViews>
  <sheetFormatPr defaultColWidth="9.140625" defaultRowHeight="21.75"/>
  <cols>
    <col min="1" max="1" width="7.8515625" style="14" customWidth="1"/>
    <col min="2" max="2" width="44.28125" style="14" customWidth="1"/>
    <col min="3" max="3" width="9.28125" style="14" customWidth="1"/>
    <col min="4" max="4" width="8.28125" style="14" customWidth="1"/>
    <col min="5" max="6" width="12.140625" style="14" customWidth="1"/>
    <col min="7" max="7" width="12.140625" style="41" customWidth="1"/>
    <col min="8" max="8" width="12.421875" style="14" customWidth="1"/>
    <col min="9" max="9" width="15.28125" style="14" customWidth="1"/>
    <col min="10" max="10" width="16.57421875" style="14" customWidth="1"/>
    <col min="11" max="11" width="4.140625" style="14" hidden="1" customWidth="1"/>
    <col min="12" max="12" width="8.7109375" style="14" customWidth="1"/>
    <col min="13" max="16384" width="9.140625" style="14" customWidth="1"/>
  </cols>
  <sheetData>
    <row r="1" spans="1:10" ht="19.5">
      <c r="A1" s="359" t="s">
        <v>53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ht="19.5">
      <c r="A2" s="362" t="s">
        <v>54</v>
      </c>
      <c r="B2" s="363"/>
      <c r="C2" s="363"/>
      <c r="D2" s="363"/>
      <c r="E2" s="363"/>
      <c r="F2" s="363"/>
      <c r="G2" s="363"/>
      <c r="H2" s="363"/>
      <c r="I2" s="363"/>
      <c r="J2" s="33" t="s">
        <v>55</v>
      </c>
    </row>
    <row r="3" spans="1:10" ht="19.5">
      <c r="A3" s="352" t="s">
        <v>56</v>
      </c>
      <c r="B3" s="353"/>
      <c r="C3" s="353"/>
      <c r="D3" s="353"/>
      <c r="E3" s="353"/>
      <c r="F3" s="353"/>
      <c r="G3" s="353"/>
      <c r="H3" s="353"/>
      <c r="I3" s="353"/>
      <c r="J3" s="33" t="s">
        <v>62</v>
      </c>
    </row>
    <row r="4" spans="1:10" ht="19.5">
      <c r="A4" s="352" t="s">
        <v>106</v>
      </c>
      <c r="B4" s="353"/>
      <c r="C4" s="353"/>
      <c r="D4" s="353"/>
      <c r="E4" s="353"/>
      <c r="F4" s="353"/>
      <c r="G4" s="353"/>
      <c r="H4" s="353"/>
      <c r="I4" s="353"/>
      <c r="J4" s="34"/>
    </row>
    <row r="5" spans="1:10" ht="19.5">
      <c r="A5" s="352" t="s">
        <v>96</v>
      </c>
      <c r="B5" s="353"/>
      <c r="C5" s="353"/>
      <c r="D5" s="353"/>
      <c r="E5" s="353"/>
      <c r="F5" s="353"/>
      <c r="G5" s="353"/>
      <c r="H5" s="353"/>
      <c r="I5" s="353"/>
      <c r="J5" s="35"/>
    </row>
    <row r="6" spans="1:10" ht="19.5">
      <c r="A6" s="352" t="s">
        <v>105</v>
      </c>
      <c r="B6" s="353"/>
      <c r="C6" s="353"/>
      <c r="D6" s="353"/>
      <c r="E6" s="353"/>
      <c r="F6" s="353"/>
      <c r="G6" s="353"/>
      <c r="H6" s="353"/>
      <c r="I6" s="353"/>
      <c r="J6" s="35"/>
    </row>
    <row r="7" spans="1:10" ht="20.25" thickBot="1">
      <c r="A7" s="356" t="s">
        <v>61</v>
      </c>
      <c r="B7" s="357"/>
      <c r="C7" s="357"/>
      <c r="D7" s="357"/>
      <c r="E7" s="357"/>
      <c r="F7" s="357"/>
      <c r="G7" s="357"/>
      <c r="H7" s="357"/>
      <c r="I7" s="357"/>
      <c r="J7" s="36" t="s">
        <v>57</v>
      </c>
    </row>
    <row r="8" spans="1:10" ht="20.25" thickTop="1">
      <c r="A8" s="354" t="s">
        <v>5</v>
      </c>
      <c r="B8" s="354" t="s">
        <v>0</v>
      </c>
      <c r="C8" s="354" t="s">
        <v>1</v>
      </c>
      <c r="D8" s="354" t="s">
        <v>2</v>
      </c>
      <c r="E8" s="358" t="s">
        <v>58</v>
      </c>
      <c r="F8" s="358"/>
      <c r="G8" s="358" t="s">
        <v>59</v>
      </c>
      <c r="H8" s="358"/>
      <c r="I8" s="15" t="s">
        <v>25</v>
      </c>
      <c r="J8" s="354" t="s">
        <v>4</v>
      </c>
    </row>
    <row r="9" spans="1:10" ht="20.25" thickBot="1">
      <c r="A9" s="355"/>
      <c r="B9" s="355"/>
      <c r="C9" s="355"/>
      <c r="D9" s="355"/>
      <c r="E9" s="16" t="s">
        <v>19</v>
      </c>
      <c r="F9" s="16" t="s">
        <v>3</v>
      </c>
      <c r="G9" s="38" t="s">
        <v>19</v>
      </c>
      <c r="H9" s="16" t="s">
        <v>3</v>
      </c>
      <c r="I9" s="16" t="s">
        <v>21</v>
      </c>
      <c r="J9" s="355"/>
    </row>
    <row r="10" spans="1:10" ht="20.25" thickTop="1">
      <c r="A10" s="17"/>
      <c r="B10" s="39"/>
      <c r="C10" s="17"/>
      <c r="D10" s="17"/>
      <c r="E10" s="18"/>
      <c r="F10" s="17"/>
      <c r="G10" s="40"/>
      <c r="H10" s="17"/>
      <c r="I10" s="17"/>
      <c r="J10" s="17"/>
    </row>
    <row r="11" spans="1:10" ht="19.5">
      <c r="A11" s="19">
        <v>1</v>
      </c>
      <c r="B11" s="20" t="s">
        <v>52</v>
      </c>
      <c r="C11" s="21">
        <v>12.75</v>
      </c>
      <c r="D11" s="19" t="s">
        <v>11</v>
      </c>
      <c r="E11" s="25">
        <v>2130</v>
      </c>
      <c r="F11" s="23">
        <f>C11*E11</f>
        <v>27157.5</v>
      </c>
      <c r="G11" s="22">
        <v>436</v>
      </c>
      <c r="H11" s="24">
        <f>ROUND((G11*C11),2)</f>
        <v>5559</v>
      </c>
      <c r="I11" s="23">
        <f>ROUND((F11+H11),)</f>
        <v>32717</v>
      </c>
      <c r="J11" s="19"/>
    </row>
    <row r="12" spans="1:10" ht="19.5">
      <c r="A12" s="19">
        <v>2</v>
      </c>
      <c r="B12" s="20" t="s">
        <v>48</v>
      </c>
      <c r="C12" s="21">
        <v>2.1</v>
      </c>
      <c r="D12" s="19" t="s">
        <v>11</v>
      </c>
      <c r="E12" s="25">
        <v>671</v>
      </c>
      <c r="F12" s="23">
        <f aca="true" t="shared" si="0" ref="F12:F20">ROUND((C12*E12),2)</f>
        <v>1409.1</v>
      </c>
      <c r="G12" s="25">
        <v>0</v>
      </c>
      <c r="H12" s="24">
        <f aca="true" t="shared" si="1" ref="H12:H20">ROUND((G12*C12),2)</f>
        <v>0</v>
      </c>
      <c r="I12" s="23">
        <f aca="true" t="shared" si="2" ref="I12:I20">ROUND((F12+H12),)</f>
        <v>1409</v>
      </c>
      <c r="J12" s="19"/>
    </row>
    <row r="13" spans="1:10" ht="19.5">
      <c r="A13" s="19">
        <v>3</v>
      </c>
      <c r="B13" s="20" t="s">
        <v>70</v>
      </c>
      <c r="C13" s="21">
        <v>27.6</v>
      </c>
      <c r="D13" s="19" t="s">
        <v>11</v>
      </c>
      <c r="E13" s="22">
        <v>0</v>
      </c>
      <c r="F13" s="23">
        <f t="shared" si="0"/>
        <v>0</v>
      </c>
      <c r="G13" s="22">
        <v>99</v>
      </c>
      <c r="H13" s="24">
        <f t="shared" si="1"/>
        <v>2732.4</v>
      </c>
      <c r="I13" s="23">
        <f t="shared" si="2"/>
        <v>2732</v>
      </c>
      <c r="J13" s="19"/>
    </row>
    <row r="14" spans="1:10" ht="19.5">
      <c r="A14" s="19">
        <v>4</v>
      </c>
      <c r="B14" s="20" t="s">
        <v>108</v>
      </c>
      <c r="C14" s="23">
        <v>188.7</v>
      </c>
      <c r="D14" s="19" t="s">
        <v>26</v>
      </c>
      <c r="E14" s="22">
        <v>16.2</v>
      </c>
      <c r="F14" s="23">
        <f t="shared" si="0"/>
        <v>3056.94</v>
      </c>
      <c r="G14" s="25">
        <v>4.1</v>
      </c>
      <c r="H14" s="24">
        <f t="shared" si="1"/>
        <v>773.67</v>
      </c>
      <c r="I14" s="23">
        <f t="shared" si="2"/>
        <v>3831</v>
      </c>
      <c r="J14" s="19"/>
    </row>
    <row r="15" spans="1:10" ht="19.5">
      <c r="A15" s="19">
        <v>5</v>
      </c>
      <c r="B15" s="20" t="s">
        <v>49</v>
      </c>
      <c r="C15" s="23">
        <v>466.5</v>
      </c>
      <c r="D15" s="19" t="s">
        <v>26</v>
      </c>
      <c r="E15" s="22">
        <v>17.2</v>
      </c>
      <c r="F15" s="23">
        <f>ROUND((C15*E15),2)</f>
        <v>8023.8</v>
      </c>
      <c r="G15" s="25">
        <v>4.1</v>
      </c>
      <c r="H15" s="24">
        <f>ROUND((G15*C15),2)</f>
        <v>1912.65</v>
      </c>
      <c r="I15" s="23">
        <f>ROUND((F15+H15),)</f>
        <v>9936</v>
      </c>
      <c r="J15" s="19"/>
    </row>
    <row r="16" spans="1:10" ht="19.5">
      <c r="A16" s="19">
        <v>6</v>
      </c>
      <c r="B16" s="20" t="s">
        <v>109</v>
      </c>
      <c r="C16" s="23">
        <v>16.38</v>
      </c>
      <c r="D16" s="19" t="s">
        <v>26</v>
      </c>
      <c r="E16" s="22">
        <v>29.91</v>
      </c>
      <c r="F16" s="23">
        <f>ROUND((C16*E16),2)</f>
        <v>489.93</v>
      </c>
      <c r="G16" s="25"/>
      <c r="H16" s="24">
        <f>ROUND((G16*C16),2)</f>
        <v>0</v>
      </c>
      <c r="I16" s="23">
        <f>ROUND((F16+H16),)</f>
        <v>490</v>
      </c>
      <c r="J16" s="19"/>
    </row>
    <row r="17" spans="1:10" ht="19.5">
      <c r="A17" s="19">
        <v>5</v>
      </c>
      <c r="B17" s="20" t="s">
        <v>107</v>
      </c>
      <c r="C17" s="23">
        <v>717</v>
      </c>
      <c r="D17" s="19" t="s">
        <v>26</v>
      </c>
      <c r="E17" s="25">
        <v>16.2</v>
      </c>
      <c r="F17" s="23">
        <f t="shared" si="0"/>
        <v>11615.4</v>
      </c>
      <c r="G17" s="25">
        <v>8.45</v>
      </c>
      <c r="H17" s="24">
        <f t="shared" si="1"/>
        <v>6058.65</v>
      </c>
      <c r="I17" s="23">
        <f t="shared" si="2"/>
        <v>17674</v>
      </c>
      <c r="J17" s="19"/>
    </row>
    <row r="18" spans="1:10" ht="19.5">
      <c r="A18" s="19">
        <v>6</v>
      </c>
      <c r="B18" s="20" t="s">
        <v>50</v>
      </c>
      <c r="C18" s="21">
        <v>28.3</v>
      </c>
      <c r="D18" s="19" t="s">
        <v>27</v>
      </c>
      <c r="E18" s="22">
        <v>297.5</v>
      </c>
      <c r="F18" s="23">
        <f t="shared" si="0"/>
        <v>8419.25</v>
      </c>
      <c r="G18" s="25">
        <v>123</v>
      </c>
      <c r="H18" s="24">
        <f t="shared" si="1"/>
        <v>3480.9</v>
      </c>
      <c r="I18" s="23">
        <f t="shared" si="2"/>
        <v>11900</v>
      </c>
      <c r="J18" s="19"/>
    </row>
    <row r="19" spans="1:10" ht="19.5">
      <c r="A19" s="19">
        <v>7</v>
      </c>
      <c r="B19" s="20" t="s">
        <v>86</v>
      </c>
      <c r="C19" s="21">
        <v>187</v>
      </c>
      <c r="D19" s="19" t="s">
        <v>12</v>
      </c>
      <c r="E19" s="22">
        <v>106</v>
      </c>
      <c r="F19" s="23">
        <f>ROUND((C19*E19),2)</f>
        <v>19822</v>
      </c>
      <c r="G19" s="25">
        <v>115</v>
      </c>
      <c r="H19" s="24">
        <f>ROUND((G19*C19),2)</f>
        <v>21505</v>
      </c>
      <c r="I19" s="23">
        <f t="shared" si="2"/>
        <v>41327</v>
      </c>
      <c r="J19" s="19"/>
    </row>
    <row r="20" spans="1:10" ht="19.5">
      <c r="A20" s="19">
        <v>10</v>
      </c>
      <c r="B20" s="20" t="s">
        <v>51</v>
      </c>
      <c r="C20" s="21">
        <v>57</v>
      </c>
      <c r="D20" s="19" t="s">
        <v>12</v>
      </c>
      <c r="E20" s="22">
        <v>30</v>
      </c>
      <c r="F20" s="23">
        <f t="shared" si="0"/>
        <v>1710</v>
      </c>
      <c r="G20" s="25">
        <v>35</v>
      </c>
      <c r="H20" s="24">
        <f t="shared" si="1"/>
        <v>1995</v>
      </c>
      <c r="I20" s="23">
        <f t="shared" si="2"/>
        <v>3705</v>
      </c>
      <c r="J20" s="19"/>
    </row>
    <row r="21" spans="1:10" ht="19.5">
      <c r="A21" s="19"/>
      <c r="B21" s="20"/>
      <c r="C21" s="21"/>
      <c r="D21" s="19"/>
      <c r="E21" s="22"/>
      <c r="F21" s="23"/>
      <c r="G21" s="25"/>
      <c r="H21" s="24"/>
      <c r="I21" s="23"/>
      <c r="J21" s="19"/>
    </row>
    <row r="22" spans="1:10" ht="19.5">
      <c r="A22" s="19"/>
      <c r="B22" s="20"/>
      <c r="C22" s="21"/>
      <c r="D22" s="19"/>
      <c r="E22" s="22"/>
      <c r="F22" s="23"/>
      <c r="G22" s="25"/>
      <c r="H22" s="24"/>
      <c r="I22" s="23"/>
      <c r="J22" s="19"/>
    </row>
    <row r="23" spans="1:10" ht="19.5">
      <c r="A23" s="19"/>
      <c r="B23" s="67" t="s">
        <v>89</v>
      </c>
      <c r="C23" s="21"/>
      <c r="D23" s="19"/>
      <c r="E23" s="22"/>
      <c r="F23" s="23"/>
      <c r="G23" s="25"/>
      <c r="H23" s="24"/>
      <c r="I23" s="23">
        <f>SUM(F11:F20)</f>
        <v>81703.92</v>
      </c>
      <c r="J23" s="19"/>
    </row>
    <row r="24" spans="1:10" ht="19.5">
      <c r="A24" s="19"/>
      <c r="B24" s="67" t="s">
        <v>90</v>
      </c>
      <c r="C24" s="21"/>
      <c r="D24" s="19"/>
      <c r="E24" s="22"/>
      <c r="F24" s="23"/>
      <c r="G24" s="25"/>
      <c r="H24" s="24"/>
      <c r="I24" s="23">
        <f>SUM(H11:H20)</f>
        <v>44017.270000000004</v>
      </c>
      <c r="J24" s="19"/>
    </row>
    <row r="25" spans="1:10" ht="19.5">
      <c r="A25" s="19"/>
      <c r="B25" s="67" t="s">
        <v>91</v>
      </c>
      <c r="C25" s="21"/>
      <c r="D25" s="19"/>
      <c r="E25" s="22"/>
      <c r="F25" s="23"/>
      <c r="G25" s="25"/>
      <c r="H25" s="24"/>
      <c r="I25" s="23">
        <f>SUM(I23:I24)</f>
        <v>125721.19</v>
      </c>
      <c r="J25" s="19"/>
    </row>
    <row r="26" spans="1:10" ht="19.5">
      <c r="A26" s="19"/>
      <c r="B26" s="67" t="s">
        <v>92</v>
      </c>
      <c r="C26" s="21"/>
      <c r="D26" s="19"/>
      <c r="E26" s="22"/>
      <c r="F26" s="23"/>
      <c r="G26" s="25"/>
      <c r="H26" s="24"/>
      <c r="I26" s="23">
        <f>0.3365*I25</f>
        <v>42305.180435</v>
      </c>
      <c r="J26" s="19"/>
    </row>
    <row r="27" spans="1:10" ht="19.5">
      <c r="A27" s="19"/>
      <c r="B27" s="67" t="s">
        <v>93</v>
      </c>
      <c r="C27" s="21"/>
      <c r="D27" s="19"/>
      <c r="E27" s="22"/>
      <c r="F27" s="23"/>
      <c r="G27" s="25"/>
      <c r="H27" s="24"/>
      <c r="I27" s="23">
        <v>3000</v>
      </c>
      <c r="J27" s="19"/>
    </row>
    <row r="28" spans="1:10" ht="19.5">
      <c r="A28" s="19"/>
      <c r="B28" s="67" t="s">
        <v>95</v>
      </c>
      <c r="C28" s="21"/>
      <c r="D28" s="19"/>
      <c r="E28" s="22"/>
      <c r="F28" s="23"/>
      <c r="G28" s="25"/>
      <c r="H28" s="24"/>
      <c r="I28" s="23">
        <f>SUM(I25:I27)</f>
        <v>171026.370435</v>
      </c>
      <c r="J28" s="19"/>
    </row>
    <row r="29" spans="1:10" ht="19.5">
      <c r="A29" s="19"/>
      <c r="B29" s="68" t="s">
        <v>94</v>
      </c>
      <c r="C29" s="21"/>
      <c r="D29" s="19"/>
      <c r="E29" s="22"/>
      <c r="F29" s="23"/>
      <c r="G29" s="25"/>
      <c r="H29" s="24"/>
      <c r="I29" s="23">
        <v>171000</v>
      </c>
      <c r="J29" s="19"/>
    </row>
    <row r="30" spans="1:10" ht="19.5">
      <c r="A30" s="19"/>
      <c r="B30" s="20"/>
      <c r="C30" s="21"/>
      <c r="D30" s="19"/>
      <c r="E30" s="22"/>
      <c r="F30" s="23"/>
      <c r="G30" s="25"/>
      <c r="H30" s="24"/>
      <c r="I30" s="23"/>
      <c r="J30" s="19"/>
    </row>
    <row r="31" spans="1:10" ht="19.5">
      <c r="A31" s="19"/>
      <c r="B31" s="20"/>
      <c r="C31" s="21"/>
      <c r="D31" s="19"/>
      <c r="E31" s="22"/>
      <c r="F31" s="23"/>
      <c r="G31" s="25"/>
      <c r="H31" s="24"/>
      <c r="I31" s="23"/>
      <c r="J31" s="19"/>
    </row>
    <row r="32" spans="1:10" ht="19.5">
      <c r="A32" s="13"/>
      <c r="B32" s="26"/>
      <c r="C32" s="27"/>
      <c r="D32" s="26"/>
      <c r="E32" s="28"/>
      <c r="F32" s="29"/>
      <c r="G32" s="32"/>
      <c r="H32" s="30"/>
      <c r="I32" s="29"/>
      <c r="J32" s="13"/>
    </row>
    <row r="33" spans="1:10" ht="19.5">
      <c r="A33" s="13"/>
      <c r="B33" s="13"/>
      <c r="C33" s="31"/>
      <c r="D33" s="13"/>
      <c r="E33" s="28"/>
      <c r="F33" s="29"/>
      <c r="G33" s="32"/>
      <c r="H33" s="30"/>
      <c r="I33" s="29"/>
      <c r="J33" s="13"/>
    </row>
    <row r="34" spans="1:10" ht="19.5">
      <c r="A34" s="13"/>
      <c r="B34" s="13"/>
      <c r="C34" s="31"/>
      <c r="D34" s="13"/>
      <c r="E34" s="28"/>
      <c r="F34" s="29"/>
      <c r="G34" s="32"/>
      <c r="H34" s="30"/>
      <c r="I34" s="29"/>
      <c r="J34" s="13"/>
    </row>
    <row r="35" spans="1:10" ht="19.5">
      <c r="A35" s="13"/>
      <c r="B35" s="13"/>
      <c r="C35" s="31"/>
      <c r="D35" s="13"/>
      <c r="E35" s="28"/>
      <c r="F35" s="29"/>
      <c r="G35" s="32"/>
      <c r="H35" s="30"/>
      <c r="I35" s="29"/>
      <c r="J35" s="13"/>
    </row>
    <row r="36" spans="1:10" ht="19.5">
      <c r="A36" s="13"/>
      <c r="B36" s="13"/>
      <c r="C36" s="31"/>
      <c r="D36" s="13"/>
      <c r="E36" s="28"/>
      <c r="F36" s="29"/>
      <c r="G36" s="32"/>
      <c r="H36" s="30"/>
      <c r="I36" s="29"/>
      <c r="J36" s="13"/>
    </row>
    <row r="37" spans="1:10" ht="19.5">
      <c r="A37" s="13"/>
      <c r="B37" s="13"/>
      <c r="C37" s="31"/>
      <c r="D37" s="13"/>
      <c r="E37" s="28"/>
      <c r="F37" s="29"/>
      <c r="G37" s="32"/>
      <c r="H37" s="30"/>
      <c r="I37" s="29"/>
      <c r="J37" s="13"/>
    </row>
  </sheetData>
  <sheetProtection/>
  <mergeCells count="14">
    <mergeCell ref="J8:J9"/>
    <mergeCell ref="A7:I7"/>
    <mergeCell ref="A8:A9"/>
    <mergeCell ref="B8:B9"/>
    <mergeCell ref="C8:C9"/>
    <mergeCell ref="D8:D9"/>
    <mergeCell ref="E8:F8"/>
    <mergeCell ref="G8:H8"/>
    <mergeCell ref="A1:J1"/>
    <mergeCell ref="A2:I2"/>
    <mergeCell ref="A3:I3"/>
    <mergeCell ref="A4:I4"/>
    <mergeCell ref="A5:I5"/>
    <mergeCell ref="A6:I6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98" zoomScaleNormal="75" zoomScaleSheetLayoutView="98" zoomScalePageLayoutView="0" workbookViewId="0" topLeftCell="A4">
      <selection activeCell="G28" sqref="G28"/>
    </sheetView>
  </sheetViews>
  <sheetFormatPr defaultColWidth="9.140625" defaultRowHeight="21.75"/>
  <cols>
    <col min="1" max="1" width="7.8515625" style="14" customWidth="1"/>
    <col min="2" max="2" width="44.28125" style="14" customWidth="1"/>
    <col min="3" max="3" width="9.28125" style="14" customWidth="1"/>
    <col min="4" max="4" width="8.28125" style="14" customWidth="1"/>
    <col min="5" max="6" width="12.140625" style="14" customWidth="1"/>
    <col min="7" max="7" width="12.140625" style="41" customWidth="1"/>
    <col min="8" max="8" width="12.421875" style="14" customWidth="1"/>
    <col min="9" max="9" width="15.28125" style="14" customWidth="1"/>
    <col min="10" max="10" width="16.57421875" style="14" customWidth="1"/>
    <col min="11" max="11" width="4.140625" style="14" hidden="1" customWidth="1"/>
    <col min="12" max="12" width="8.7109375" style="14" customWidth="1"/>
    <col min="13" max="16384" width="9.140625" style="14" customWidth="1"/>
  </cols>
  <sheetData>
    <row r="1" spans="1:10" ht="19.5">
      <c r="A1" s="359" t="s">
        <v>53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ht="19.5">
      <c r="A2" s="362" t="s">
        <v>54</v>
      </c>
      <c r="B2" s="363"/>
      <c r="C2" s="363"/>
      <c r="D2" s="363"/>
      <c r="E2" s="363"/>
      <c r="F2" s="363"/>
      <c r="G2" s="363"/>
      <c r="H2" s="363"/>
      <c r="I2" s="363"/>
      <c r="J2" s="33" t="s">
        <v>55</v>
      </c>
    </row>
    <row r="3" spans="1:10" ht="19.5">
      <c r="A3" s="352" t="s">
        <v>56</v>
      </c>
      <c r="B3" s="353"/>
      <c r="C3" s="353"/>
      <c r="D3" s="353"/>
      <c r="E3" s="353"/>
      <c r="F3" s="353"/>
      <c r="G3" s="353"/>
      <c r="H3" s="353"/>
      <c r="I3" s="353"/>
      <c r="J3" s="33" t="s">
        <v>62</v>
      </c>
    </row>
    <row r="4" spans="1:10" ht="19.5">
      <c r="A4" s="352" t="s">
        <v>60</v>
      </c>
      <c r="B4" s="353"/>
      <c r="C4" s="353"/>
      <c r="D4" s="353"/>
      <c r="E4" s="353"/>
      <c r="F4" s="353"/>
      <c r="G4" s="353"/>
      <c r="H4" s="353"/>
      <c r="I4" s="353"/>
      <c r="J4" s="34"/>
    </row>
    <row r="5" spans="1:10" ht="19.5">
      <c r="A5" s="352" t="s">
        <v>69</v>
      </c>
      <c r="B5" s="353"/>
      <c r="C5" s="353"/>
      <c r="D5" s="353"/>
      <c r="E5" s="353"/>
      <c r="F5" s="353"/>
      <c r="G5" s="353"/>
      <c r="H5" s="353"/>
      <c r="I5" s="353"/>
      <c r="J5" s="35"/>
    </row>
    <row r="6" spans="1:10" ht="19.5">
      <c r="A6" s="352" t="s">
        <v>105</v>
      </c>
      <c r="B6" s="353"/>
      <c r="C6" s="353"/>
      <c r="D6" s="353"/>
      <c r="E6" s="353"/>
      <c r="F6" s="353"/>
      <c r="G6" s="353"/>
      <c r="H6" s="353"/>
      <c r="I6" s="353"/>
      <c r="J6" s="35"/>
    </row>
    <row r="7" spans="1:10" ht="20.25" thickBot="1">
      <c r="A7" s="356" t="s">
        <v>61</v>
      </c>
      <c r="B7" s="357"/>
      <c r="C7" s="357"/>
      <c r="D7" s="357"/>
      <c r="E7" s="357"/>
      <c r="F7" s="357"/>
      <c r="G7" s="357"/>
      <c r="H7" s="357"/>
      <c r="I7" s="357"/>
      <c r="J7" s="36" t="s">
        <v>57</v>
      </c>
    </row>
    <row r="8" spans="1:10" ht="20.25" thickTop="1">
      <c r="A8" s="354" t="s">
        <v>5</v>
      </c>
      <c r="B8" s="354" t="s">
        <v>0</v>
      </c>
      <c r="C8" s="354" t="s">
        <v>1</v>
      </c>
      <c r="D8" s="354" t="s">
        <v>2</v>
      </c>
      <c r="E8" s="358" t="s">
        <v>58</v>
      </c>
      <c r="F8" s="358"/>
      <c r="G8" s="358" t="s">
        <v>59</v>
      </c>
      <c r="H8" s="358"/>
      <c r="I8" s="15" t="s">
        <v>25</v>
      </c>
      <c r="J8" s="354" t="s">
        <v>4</v>
      </c>
    </row>
    <row r="9" spans="1:10" ht="20.25" thickBot="1">
      <c r="A9" s="355"/>
      <c r="B9" s="355"/>
      <c r="C9" s="355"/>
      <c r="D9" s="355"/>
      <c r="E9" s="16" t="s">
        <v>19</v>
      </c>
      <c r="F9" s="16" t="s">
        <v>3</v>
      </c>
      <c r="G9" s="38" t="s">
        <v>19</v>
      </c>
      <c r="H9" s="16" t="s">
        <v>3</v>
      </c>
      <c r="I9" s="16" t="s">
        <v>21</v>
      </c>
      <c r="J9" s="355"/>
    </row>
    <row r="10" spans="1:10" ht="20.25" thickTop="1">
      <c r="A10" s="17"/>
      <c r="B10" s="39"/>
      <c r="C10" s="17"/>
      <c r="D10" s="17"/>
      <c r="E10" s="18"/>
      <c r="F10" s="17"/>
      <c r="G10" s="40"/>
      <c r="H10" s="17"/>
      <c r="I10" s="17"/>
      <c r="J10" s="17"/>
    </row>
    <row r="11" spans="1:10" ht="19.5">
      <c r="A11" s="19">
        <v>1</v>
      </c>
      <c r="B11" s="20" t="s">
        <v>52</v>
      </c>
      <c r="C11" s="21">
        <v>19.2</v>
      </c>
      <c r="D11" s="19" t="s">
        <v>11</v>
      </c>
      <c r="E11" s="25">
        <v>2130</v>
      </c>
      <c r="F11" s="23">
        <f>C11*E11</f>
        <v>40896</v>
      </c>
      <c r="G11" s="22">
        <v>436</v>
      </c>
      <c r="H11" s="24">
        <f>ROUND((G11*C11),2)</f>
        <v>8371.2</v>
      </c>
      <c r="I11" s="23">
        <f>ROUND((F11+H11),)</f>
        <v>49267</v>
      </c>
      <c r="J11" s="19"/>
    </row>
    <row r="12" spans="1:10" ht="19.5">
      <c r="A12" s="19">
        <v>2</v>
      </c>
      <c r="B12" s="20" t="s">
        <v>48</v>
      </c>
      <c r="C12" s="21">
        <v>3.2</v>
      </c>
      <c r="D12" s="19" t="s">
        <v>11</v>
      </c>
      <c r="E12" s="25">
        <v>671</v>
      </c>
      <c r="F12" s="23">
        <f aca="true" t="shared" si="0" ref="F12:F20">C12*E12</f>
        <v>2147.2000000000003</v>
      </c>
      <c r="G12" s="25">
        <v>0</v>
      </c>
      <c r="H12" s="24">
        <f aca="true" t="shared" si="1" ref="H12:H20">ROUND((G12*C12),2)</f>
        <v>0</v>
      </c>
      <c r="I12" s="23">
        <f aca="true" t="shared" si="2" ref="I12:I20">ROUND((F12+H12),)</f>
        <v>2147</v>
      </c>
      <c r="J12" s="19"/>
    </row>
    <row r="13" spans="1:10" ht="19.5">
      <c r="A13" s="19">
        <v>3</v>
      </c>
      <c r="B13" s="20" t="s">
        <v>70</v>
      </c>
      <c r="C13" s="21">
        <v>41.6</v>
      </c>
      <c r="D13" s="19" t="s">
        <v>11</v>
      </c>
      <c r="E13" s="22">
        <v>0</v>
      </c>
      <c r="F13" s="23">
        <f t="shared" si="0"/>
        <v>0</v>
      </c>
      <c r="G13" s="22">
        <v>99</v>
      </c>
      <c r="H13" s="24">
        <f t="shared" si="1"/>
        <v>4118.4</v>
      </c>
      <c r="I13" s="23">
        <f t="shared" si="2"/>
        <v>4118</v>
      </c>
      <c r="J13" s="19"/>
    </row>
    <row r="14" spans="1:10" ht="19.5">
      <c r="A14" s="19">
        <v>4</v>
      </c>
      <c r="B14" s="20" t="s">
        <v>108</v>
      </c>
      <c r="C14" s="23">
        <v>284.1</v>
      </c>
      <c r="D14" s="19" t="s">
        <v>26</v>
      </c>
      <c r="E14" s="22">
        <f>'[1]ข้อมูลดิบ'!$G$19/1000</f>
        <v>21.45471</v>
      </c>
      <c r="F14" s="23">
        <f t="shared" si="0"/>
        <v>6095.283111</v>
      </c>
      <c r="G14" s="25">
        <v>4.1</v>
      </c>
      <c r="H14" s="24">
        <f t="shared" si="1"/>
        <v>1164.81</v>
      </c>
      <c r="I14" s="23">
        <f t="shared" si="2"/>
        <v>7260</v>
      </c>
      <c r="J14" s="19"/>
    </row>
    <row r="15" spans="1:10" ht="19.5">
      <c r="A15" s="19">
        <v>5</v>
      </c>
      <c r="B15" s="20" t="s">
        <v>49</v>
      </c>
      <c r="C15" s="23">
        <v>702.5</v>
      </c>
      <c r="D15" s="19" t="s">
        <v>26</v>
      </c>
      <c r="E15" s="22">
        <f>'[1]ข้อมูลดิบ'!$G$20/1000</f>
        <v>20.178099999999997</v>
      </c>
      <c r="F15" s="23">
        <f t="shared" si="0"/>
        <v>14175.115249999997</v>
      </c>
      <c r="G15" s="25">
        <v>4.1</v>
      </c>
      <c r="H15" s="24">
        <f t="shared" si="1"/>
        <v>2880.25</v>
      </c>
      <c r="I15" s="23">
        <f t="shared" si="2"/>
        <v>17055</v>
      </c>
      <c r="J15" s="19"/>
    </row>
    <row r="16" spans="1:10" ht="19.5">
      <c r="A16" s="19" t="s">
        <v>110</v>
      </c>
      <c r="B16" s="20" t="s">
        <v>109</v>
      </c>
      <c r="C16" s="23">
        <v>24.66</v>
      </c>
      <c r="D16" s="19" t="s">
        <v>26</v>
      </c>
      <c r="E16" s="22">
        <v>29.91</v>
      </c>
      <c r="F16" s="23">
        <f t="shared" si="0"/>
        <v>737.5806</v>
      </c>
      <c r="G16" s="25"/>
      <c r="H16" s="24">
        <f t="shared" si="1"/>
        <v>0</v>
      </c>
      <c r="I16" s="23">
        <f t="shared" si="2"/>
        <v>738</v>
      </c>
      <c r="J16" s="19"/>
    </row>
    <row r="17" spans="1:10" ht="19.5">
      <c r="A17" s="19">
        <v>5</v>
      </c>
      <c r="B17" s="20" t="s">
        <v>107</v>
      </c>
      <c r="C17" s="23">
        <v>1079</v>
      </c>
      <c r="D17" s="19" t="s">
        <v>26</v>
      </c>
      <c r="E17" s="25">
        <f>'[1]ข้อมูลดิบ'!$G$24/1000</f>
        <v>19.20502</v>
      </c>
      <c r="F17" s="23">
        <f t="shared" si="0"/>
        <v>20722.21658</v>
      </c>
      <c r="G17" s="25">
        <v>8.45</v>
      </c>
      <c r="H17" s="24">
        <f t="shared" si="1"/>
        <v>9117.55</v>
      </c>
      <c r="I17" s="23">
        <f t="shared" si="2"/>
        <v>29840</v>
      </c>
      <c r="J17" s="19"/>
    </row>
    <row r="18" spans="1:10" ht="19.5">
      <c r="A18" s="19">
        <v>6</v>
      </c>
      <c r="B18" s="20" t="s">
        <v>50</v>
      </c>
      <c r="C18" s="21">
        <v>42.6</v>
      </c>
      <c r="D18" s="19" t="s">
        <v>27</v>
      </c>
      <c r="E18" s="22">
        <v>297.5</v>
      </c>
      <c r="F18" s="23">
        <f t="shared" si="0"/>
        <v>12673.5</v>
      </c>
      <c r="G18" s="25">
        <v>123</v>
      </c>
      <c r="H18" s="24">
        <f t="shared" si="1"/>
        <v>5239.8</v>
      </c>
      <c r="I18" s="23">
        <f t="shared" si="2"/>
        <v>17913</v>
      </c>
      <c r="J18" s="19"/>
    </row>
    <row r="19" spans="1:10" ht="19.5">
      <c r="A19" s="19">
        <v>7</v>
      </c>
      <c r="B19" s="20" t="s">
        <v>88</v>
      </c>
      <c r="C19" s="21">
        <v>281</v>
      </c>
      <c r="D19" s="19" t="s">
        <v>12</v>
      </c>
      <c r="E19" s="22">
        <v>106</v>
      </c>
      <c r="F19" s="23">
        <f t="shared" si="0"/>
        <v>29786</v>
      </c>
      <c r="G19" s="25">
        <v>115</v>
      </c>
      <c r="H19" s="24">
        <f t="shared" si="1"/>
        <v>32315</v>
      </c>
      <c r="I19" s="23">
        <f t="shared" si="2"/>
        <v>62101</v>
      </c>
      <c r="J19" s="19"/>
    </row>
    <row r="20" spans="1:10" ht="19.5">
      <c r="A20" s="19">
        <v>8</v>
      </c>
      <c r="B20" s="20" t="s">
        <v>51</v>
      </c>
      <c r="C20" s="21">
        <v>85</v>
      </c>
      <c r="D20" s="19" t="s">
        <v>12</v>
      </c>
      <c r="E20" s="22">
        <v>30</v>
      </c>
      <c r="F20" s="23">
        <f t="shared" si="0"/>
        <v>2550</v>
      </c>
      <c r="G20" s="25">
        <v>35</v>
      </c>
      <c r="H20" s="24">
        <f t="shared" si="1"/>
        <v>2975</v>
      </c>
      <c r="I20" s="23">
        <f t="shared" si="2"/>
        <v>5525</v>
      </c>
      <c r="J20" s="19"/>
    </row>
    <row r="21" spans="1:10" ht="19.5">
      <c r="A21" s="19"/>
      <c r="B21" s="20"/>
      <c r="C21" s="21"/>
      <c r="D21" s="19"/>
      <c r="E21" s="22"/>
      <c r="F21" s="23"/>
      <c r="G21" s="25"/>
      <c r="H21" s="24"/>
      <c r="I21" s="23"/>
      <c r="J21" s="19"/>
    </row>
    <row r="22" spans="1:10" ht="19.5">
      <c r="A22" s="19"/>
      <c r="B22" s="67" t="s">
        <v>89</v>
      </c>
      <c r="C22" s="21"/>
      <c r="D22" s="19"/>
      <c r="E22" s="22"/>
      <c r="F22" s="23"/>
      <c r="G22" s="25"/>
      <c r="H22" s="24"/>
      <c r="I22" s="23">
        <f>SUM(F11:F20)</f>
        <v>129782.89554099999</v>
      </c>
      <c r="J22" s="19"/>
    </row>
    <row r="23" spans="1:10" ht="19.5">
      <c r="A23" s="19"/>
      <c r="B23" s="67" t="s">
        <v>90</v>
      </c>
      <c r="C23" s="21"/>
      <c r="D23" s="19"/>
      <c r="E23" s="22"/>
      <c r="F23" s="23"/>
      <c r="G23" s="25"/>
      <c r="H23" s="24"/>
      <c r="I23" s="23">
        <f>SUM(H11:H20)</f>
        <v>66182.01</v>
      </c>
      <c r="J23" s="19"/>
    </row>
    <row r="24" spans="1:10" ht="19.5">
      <c r="A24" s="19"/>
      <c r="B24" s="67" t="s">
        <v>91</v>
      </c>
      <c r="C24" s="21"/>
      <c r="D24" s="19"/>
      <c r="E24" s="22"/>
      <c r="F24" s="23"/>
      <c r="G24" s="25"/>
      <c r="H24" s="24"/>
      <c r="I24" s="23">
        <f>SUM(I22:I23)</f>
        <v>195964.905541</v>
      </c>
      <c r="J24" s="19"/>
    </row>
    <row r="25" spans="1:10" ht="19.5">
      <c r="A25" s="19"/>
      <c r="B25" s="67" t="s">
        <v>92</v>
      </c>
      <c r="C25" s="21"/>
      <c r="D25" s="19"/>
      <c r="E25" s="22"/>
      <c r="F25" s="23"/>
      <c r="G25" s="25"/>
      <c r="H25" s="24"/>
      <c r="I25" s="23">
        <f>0.3365*I24</f>
        <v>65942.1907145465</v>
      </c>
      <c r="J25" s="19"/>
    </row>
    <row r="26" spans="1:10" ht="19.5">
      <c r="A26" s="19"/>
      <c r="B26" s="67" t="s">
        <v>93</v>
      </c>
      <c r="C26" s="21"/>
      <c r="D26" s="19"/>
      <c r="E26" s="22"/>
      <c r="F26" s="23"/>
      <c r="G26" s="25"/>
      <c r="H26" s="24"/>
      <c r="I26" s="23">
        <v>3000</v>
      </c>
      <c r="J26" s="19"/>
    </row>
    <row r="27" spans="1:10" ht="19.5">
      <c r="A27" s="19"/>
      <c r="B27" s="67" t="s">
        <v>95</v>
      </c>
      <c r="C27" s="21"/>
      <c r="D27" s="19"/>
      <c r="E27" s="22"/>
      <c r="F27" s="23"/>
      <c r="G27" s="25"/>
      <c r="H27" s="24"/>
      <c r="I27" s="23">
        <f>SUM(I24:I26)</f>
        <v>264907.0962555465</v>
      </c>
      <c r="J27" s="19"/>
    </row>
    <row r="28" spans="1:10" ht="19.5">
      <c r="A28" s="19"/>
      <c r="B28" s="68" t="s">
        <v>94</v>
      </c>
      <c r="C28" s="21"/>
      <c r="D28" s="19"/>
      <c r="E28" s="22"/>
      <c r="F28" s="23"/>
      <c r="G28" s="25"/>
      <c r="H28" s="24"/>
      <c r="I28" s="23"/>
      <c r="J28" s="19"/>
    </row>
    <row r="29" spans="1:10" ht="19.5">
      <c r="A29" s="19"/>
      <c r="B29" s="20"/>
      <c r="C29" s="21"/>
      <c r="D29" s="19"/>
      <c r="E29" s="22"/>
      <c r="F29" s="23"/>
      <c r="G29" s="25"/>
      <c r="H29" s="24"/>
      <c r="I29" s="23"/>
      <c r="J29" s="19"/>
    </row>
    <row r="30" spans="1:10" ht="19.5">
      <c r="A30" s="19"/>
      <c r="B30" s="20"/>
      <c r="C30" s="21"/>
      <c r="D30" s="19"/>
      <c r="E30" s="22"/>
      <c r="F30" s="23"/>
      <c r="G30" s="25"/>
      <c r="H30" s="24"/>
      <c r="I30" s="23"/>
      <c r="J30" s="19"/>
    </row>
    <row r="31" spans="1:10" ht="19.5">
      <c r="A31" s="13"/>
      <c r="B31" s="26"/>
      <c r="C31" s="27"/>
      <c r="D31" s="26"/>
      <c r="E31" s="28"/>
      <c r="F31" s="29"/>
      <c r="G31" s="32"/>
      <c r="H31" s="30"/>
      <c r="I31" s="29"/>
      <c r="J31" s="13"/>
    </row>
    <row r="32" spans="1:10" ht="19.5">
      <c r="A32" s="13"/>
      <c r="B32" s="13"/>
      <c r="C32" s="31"/>
      <c r="D32" s="13"/>
      <c r="E32" s="28"/>
      <c r="F32" s="29"/>
      <c r="G32" s="32"/>
      <c r="H32" s="30"/>
      <c r="I32" s="29"/>
      <c r="J32" s="13"/>
    </row>
    <row r="33" spans="1:10" ht="19.5">
      <c r="A33" s="13"/>
      <c r="B33" s="13"/>
      <c r="C33" s="31"/>
      <c r="D33" s="13"/>
      <c r="E33" s="28"/>
      <c r="F33" s="29"/>
      <c r="G33" s="32"/>
      <c r="H33" s="30"/>
      <c r="I33" s="29"/>
      <c r="J33" s="13"/>
    </row>
    <row r="34" spans="1:10" ht="19.5">
      <c r="A34" s="13"/>
      <c r="B34" s="13"/>
      <c r="C34" s="31"/>
      <c r="D34" s="13"/>
      <c r="E34" s="28"/>
      <c r="F34" s="29"/>
      <c r="G34" s="32"/>
      <c r="H34" s="30"/>
      <c r="I34" s="29"/>
      <c r="J34" s="13"/>
    </row>
    <row r="35" spans="1:10" ht="19.5">
      <c r="A35" s="13"/>
      <c r="B35" s="13"/>
      <c r="C35" s="31"/>
      <c r="D35" s="13"/>
      <c r="E35" s="28"/>
      <c r="F35" s="29"/>
      <c r="G35" s="32"/>
      <c r="H35" s="30"/>
      <c r="I35" s="29"/>
      <c r="J35" s="13"/>
    </row>
    <row r="36" spans="1:10" ht="19.5">
      <c r="A36" s="13"/>
      <c r="B36" s="13"/>
      <c r="C36" s="31"/>
      <c r="D36" s="13"/>
      <c r="E36" s="28"/>
      <c r="F36" s="29"/>
      <c r="G36" s="32"/>
      <c r="H36" s="30"/>
      <c r="I36" s="29"/>
      <c r="J36" s="13"/>
    </row>
  </sheetData>
  <sheetProtection/>
  <mergeCells count="14">
    <mergeCell ref="A1:J1"/>
    <mergeCell ref="A2:I2"/>
    <mergeCell ref="A3:I3"/>
    <mergeCell ref="A4:I4"/>
    <mergeCell ref="A5:I5"/>
    <mergeCell ref="A6:I6"/>
    <mergeCell ref="J8:J9"/>
    <mergeCell ref="A7:I7"/>
    <mergeCell ref="A8:A9"/>
    <mergeCell ref="B8:B9"/>
    <mergeCell ref="C8:C9"/>
    <mergeCell ref="D8:D9"/>
    <mergeCell ref="E8:F8"/>
    <mergeCell ref="G8:H8"/>
  </mergeCells>
  <printOptions/>
  <pageMargins left="0.4724409448818898" right="0.35433070866141736" top="0.4724409448818898" bottom="0.35433070866141736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P'G</cp:lastModifiedBy>
  <cp:lastPrinted>2018-12-15T04:23:36Z</cp:lastPrinted>
  <dcterms:created xsi:type="dcterms:W3CDTF">2002-12-17T04:38:27Z</dcterms:created>
  <dcterms:modified xsi:type="dcterms:W3CDTF">2019-01-04T07:52:36Z</dcterms:modified>
  <cp:category/>
  <cp:version/>
  <cp:contentType/>
  <cp:contentStatus/>
</cp:coreProperties>
</file>