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295" windowHeight="4380" tabRatio="696" activeTab="0"/>
  </bookViews>
  <sheets>
    <sheet name="แบบสรุปราคากลาง" sheetId="1" r:id="rId1"/>
    <sheet name="ค่าวัสดุและดำเนินการ" sheetId="2" r:id="rId2"/>
    <sheet name="ผิวทางคอนกรีตผสมเสร็จ" sheetId="3" r:id="rId3"/>
    <sheet name="คอนกรีต" sheetId="4" r:id="rId4"/>
    <sheet name="รอยต่อ" sheetId="5" r:id="rId5"/>
    <sheet name="ทรายหยาบรองใต้ผิวคอนกรีต" sheetId="6" r:id="rId6"/>
    <sheet name="แบบหล่อคอนกรีต" sheetId="7" r:id="rId7"/>
    <sheet name="เสนอราคา" sheetId="8" r:id="rId8"/>
  </sheets>
  <definedNames>
    <definedName name="_xlnm.Print_Area" localSheetId="3">'คอนกรีต'!$A$1:$J$66</definedName>
    <definedName name="_xlnm.Print_Area" localSheetId="1">'ค่าวัสดุและดำเนินการ'!$A$1:$L$34</definedName>
    <definedName name="_xlnm.Print_Area" localSheetId="5">'ทรายหยาบรองใต้ผิวคอนกรีต'!$A$1:$J$47</definedName>
    <definedName name="_xlnm.Print_Area" localSheetId="0">'แบบสรุปราคากลาง'!$A$1:$N$66</definedName>
    <definedName name="_xlnm.Print_Area" localSheetId="6">'แบบหล่อคอนกรีต'!$A$1:$H$40</definedName>
    <definedName name="_xlnm.Print_Area" localSheetId="2">'ผิวทางคอนกรีตผสมเสร็จ'!$A$1:$Q$57</definedName>
    <definedName name="_xlnm.Print_Area" localSheetId="4">'รอยต่อ'!$A$1:$O$31</definedName>
    <definedName name="_xlnm.Print_Area" localSheetId="7">'เสนอราคา'!$A$1:$N$46</definedName>
    <definedName name="_xlnm.Print_Titles" localSheetId="0">'แบบสรุปราคากลาง'!$1:$8</definedName>
  </definedNames>
  <calcPr fullCalcOnLoad="1"/>
</workbook>
</file>

<file path=xl/comments3.xml><?xml version="1.0" encoding="utf-8"?>
<comments xmlns="http://schemas.openxmlformats.org/spreadsheetml/2006/main">
  <authors>
    <author>pg-pc</author>
    <author>PK_computer</author>
  </authors>
  <commentList>
    <comment ref="E4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H4" authorId="1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น้อยกว่า 5,000 ลบ.ม.
ใช้ 5,000 ลบ.ม</t>
        </r>
      </text>
    </comment>
    <comment ref="G9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2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3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4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5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5.xml><?xml version="1.0" encoding="utf-8"?>
<comments xmlns="http://schemas.openxmlformats.org/spreadsheetml/2006/main">
  <authors>
    <author>PK_computer</author>
  </authors>
  <commentList>
    <comment ref="J16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
</t>
        </r>
      </text>
    </comment>
    <comment ref="J26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<sst xmlns="http://schemas.openxmlformats.org/spreadsheetml/2006/main" count="560" uniqueCount="268">
  <si>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</si>
  <si>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</si>
  <si>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</si>
  <si>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</si>
  <si>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</si>
  <si>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</si>
  <si>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</si>
  <si>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</si>
  <si>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</si>
  <si>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</si>
  <si>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</si>
  <si>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</si>
  <si>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</si>
  <si>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</si>
  <si>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</si>
  <si>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</si>
  <si>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</si>
  <si>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</si>
  <si>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</si>
  <si>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</si>
  <si>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</si>
  <si>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</si>
  <si>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</si>
  <si>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</si>
  <si>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</si>
  <si>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</si>
  <si>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</si>
  <si>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</si>
  <si>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</si>
  <si>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</si>
  <si>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</si>
  <si>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</si>
  <si>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</si>
  <si>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</si>
  <si>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</si>
  <si>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</si>
  <si>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</si>
  <si>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</si>
  <si>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</si>
  <si>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</si>
  <si>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</si>
  <si>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</si>
  <si>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</si>
  <si>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</si>
  <si>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</si>
  <si>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</si>
  <si>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</si>
  <si>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</si>
  <si>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</si>
  <si>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</si>
  <si>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</si>
  <si>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</si>
  <si>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</si>
  <si>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</si>
  <si>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</si>
  <si>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</si>
  <si>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</si>
  <si>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</si>
  <si>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</si>
  <si>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</si>
  <si>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</si>
  <si>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</si>
  <si>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</si>
  <si>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</si>
  <si>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</si>
  <si>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</si>
  <si>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</si>
  <si>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</si>
  <si>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</si>
  <si>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</si>
  <si>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</si>
  <si>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</si>
  <si>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</si>
  <si>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</si>
  <si>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</si>
  <si>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</si>
  <si>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>ลบ.ม. @</t>
  </si>
  <si>
    <t xml:space="preserve">  =</t>
  </si>
  <si>
    <t>ค่าขนส่ง</t>
  </si>
  <si>
    <t>ค่าใช้จ่ายรวม</t>
  </si>
  <si>
    <t>ค่างานต้นทุน</t>
  </si>
  <si>
    <t>/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</si>
  <si>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</si>
  <si>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</si>
  <si>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</si>
  <si>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</si>
  <si>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</si>
  <si>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</si>
  <si>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</si>
  <si>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</si>
  <si>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</si>
  <si>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</si>
  <si>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</si>
  <si>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</si>
  <si>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</si>
  <si>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t>END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</si>
  <si>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</si>
  <si>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</si>
  <si>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</si>
  <si>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</si>
  <si>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</si>
  <si>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</si>
  <si>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</si>
  <si>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</si>
  <si>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</si>
  <si>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</si>
  <si>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</si>
  <si>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</si>
  <si>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</si>
  <si>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</si>
  <si>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</si>
  <si>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</si>
  <si>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</si>
  <si>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</si>
  <si>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</si>
  <si>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</si>
  <si>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</si>
  <si>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กรณีทรายและหินมีหน่วยเป็นปริมาตร</t>
  </si>
  <si>
    <t>Class of Concrete</t>
  </si>
  <si>
    <t>ค 4</t>
  </si>
  <si>
    <t>ค 3</t>
  </si>
  <si>
    <t>ค 2</t>
  </si>
  <si>
    <t>ค 1</t>
  </si>
  <si>
    <t>Lean  1:3:5</t>
  </si>
  <si>
    <t>ส่วนผสมคอนกรีต</t>
  </si>
  <si>
    <t>400:524:728</t>
  </si>
  <si>
    <t>350:572:736</t>
  </si>
  <si>
    <t>320:596:764</t>
  </si>
  <si>
    <t>290:620:725</t>
  </si>
  <si>
    <t>240:520:870</t>
  </si>
  <si>
    <t xml:space="preserve">   1. ซีเมนต์</t>
  </si>
  <si>
    <t xml:space="preserve">   2. ทราย</t>
  </si>
  <si>
    <t xml:space="preserve">   3. หิน</t>
  </si>
  <si>
    <t>320/280</t>
  </si>
  <si>
    <t>280/240</t>
  </si>
  <si>
    <t>240/210</t>
  </si>
  <si>
    <t>210/180</t>
  </si>
  <si>
    <t>180/140</t>
  </si>
  <si>
    <t xml:space="preserve">   1. คอนกรีตผสมเสร็จ</t>
  </si>
  <si>
    <t xml:space="preserve">   2. ค่าแรงเท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</si>
  <si>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</si>
  <si>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</si>
  <si>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</si>
  <si>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</si>
  <si>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</si>
  <si>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</si>
  <si>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</si>
  <si>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</si>
  <si>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ท่อ คสล. ขนาด Ø 0.30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</si>
  <si>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</si>
  <si>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</si>
  <si>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</si>
  <si>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indexed="8"/>
        <rFont val="Calibri"/>
        <family val="2"/>
      </rPr>
      <t>ø</t>
    </r>
    <r>
      <rPr>
        <sz val="17.6"/>
        <color indexed="8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</si>
  <si>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</si>
  <si>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</si>
  <si>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</si>
  <si>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กม.</t>
  </si>
  <si>
    <t xml:space="preserve">... รวมค่างานต้นทุน </t>
  </si>
  <si>
    <t>งานดิน</t>
  </si>
  <si>
    <t>งานวัสดุรองใต้ผิวทางคอนกรีต</t>
  </si>
  <si>
    <t>งานผิวทาง</t>
  </si>
  <si>
    <t>งานไหล่ทาง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</si>
  <si>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</si>
  <si>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</si>
  <si>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</si>
  <si>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</si>
  <si>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</si>
  <si>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</si>
  <si>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</si>
  <si>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</si>
  <si>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</si>
  <si>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</si>
  <si>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</si>
  <si>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</si>
  <si>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</si>
  <si>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</si>
  <si>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</si>
  <si>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</si>
  <si>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</si>
  <si>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</si>
  <si>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</si>
  <si>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</si>
  <si>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>ลวดผูกเหล็ก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</si>
  <si>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</si>
  <si>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</si>
  <si>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เหล็กฉาก 50x50x6 มม.</t>
  </si>
  <si>
    <t>ท่อ PVC Ø 2"</t>
  </si>
  <si>
    <t>บาท  x</t>
  </si>
  <si>
    <t xml:space="preserve">ค่าดำเนินการและค่าเสื่อมบดอัด  </t>
  </si>
  <si>
    <t>1.  ข้อมูลงานคอนกรีต  Class  ต่างๆ  ตามมาตรฐานกรมทางหลวงชนบท</t>
  </si>
  <si>
    <t>2.  ข้อมูลงานคอนกรีต กรณีใช้คอนกรีตผสมเสร็จ  รูปลูกบาศก์/รูปทรงกระบอก</t>
  </si>
  <si>
    <t xml:space="preserve">   4. ค่าแรงผสม - เท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</si>
  <si>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</si>
  <si>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</si>
  <si>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</si>
  <si>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</si>
  <si>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</si>
  <si>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</si>
  <si>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</si>
  <si>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</si>
  <si>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</si>
  <si>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</si>
  <si>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</si>
  <si>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</si>
  <si>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</si>
  <si>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</si>
  <si>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</si>
  <si>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</si>
  <si>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</si>
  <si>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</si>
  <si>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</si>
  <si>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ค่าเหล็ก Tie Bar  (DB Ø 16 มม.) </t>
  </si>
  <si>
    <t>คิดจากความยาว  10.00  ม.</t>
  </si>
  <si>
    <t xml:space="preserve">Joint  Filler  </t>
  </si>
  <si>
    <t xml:space="preserve">    /</t>
  </si>
  <si>
    <t>ค่าเหล็ก Dowel Bar  (RB Ø 15 มม.)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</si>
  <si>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</si>
  <si>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</si>
  <si>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</si>
  <si>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</si>
  <si>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</si>
  <si>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</si>
  <si>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</si>
  <si>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</si>
  <si>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</si>
  <si>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</si>
  <si>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</si>
  <si>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</si>
  <si>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</si>
  <si>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r>
      <t>ปริมาณงาน   : ก่อสร้างถนนคสล.</t>
    </r>
    <r>
      <rPr>
        <sz val="14.4"/>
        <color indexed="8"/>
        <rFont val="TH SarabunPSK"/>
        <family val="2"/>
      </rPr>
      <t xml:space="preserve"> ขนาดกว้าง 5.00 เมตร  ยาว 110.00 เมตร  หนา 0.15 เมตร พร้อมไหล่ทาง 2 ข้าง  กว้างเฉลี่ย 0.30 เมตร </t>
    </r>
  </si>
  <si>
    <t>โครงการ      : ก่อสร้างถนน คสล. บ้านนายพนม  ลีนำโชค (ไซโลข้าวโพด) บ้านค้างฮ้อ  หมู่ที่ 3</t>
  </si>
  <si>
    <t>ตามแบบมาตรฐานถนน คสล. เลขที่ ท.1-01</t>
  </si>
  <si>
    <t>1.1 งานขุดป่าถางตอขนาดเบา</t>
  </si>
  <si>
    <t>งานขุดป่าถางตอ</t>
  </si>
  <si>
    <t>งานรื้อคันทางเดิมและบดทับ</t>
  </si>
  <si>
    <t>2.1 ค่ารื้อคันทางเดิมและบดทับ</t>
  </si>
  <si>
    <t>พาณิชย์ ฯ น่าน ข้อ3</t>
  </si>
  <si>
    <t>พาณิชย์ ฯ น่าน ข้อ19</t>
  </si>
  <si>
    <t>พาณิชย์ ฯ แพร่ ข้อ36</t>
  </si>
  <si>
    <t>พาณิชย์ ฯ น่าน ข้อ22</t>
  </si>
  <si>
    <t>พาณิชย์ ฯ น่าน ข้อ24</t>
  </si>
  <si>
    <t>พาณิชย์ ฯ น่าน ข้อ160</t>
  </si>
  <si>
    <t>ที่ตั้งโครงการ : บ้านค้างฮ้อ  หมู่ที่ 3  ตำบลป่ากลาง  อำเภอปัว  จังหวัดน่าน</t>
  </si>
  <si>
    <t>( นายนัฏฐิชัย  ใจมั่น )</t>
  </si>
  <si>
    <t>3.1 งานดินตัดคันทาง</t>
  </si>
  <si>
    <t>3.2  งานดินถมคันทาง</t>
  </si>
  <si>
    <t>4.1 งานทรายรองใต้ผิวทางคอนกรีต</t>
  </si>
  <si>
    <t>5.1 งานผิวทางปอร์ตแลนด์ซีเมนต์คอนกรีตหนา 0.15 ม.</t>
  </si>
  <si>
    <t>5.2 งานรอยต่อเผื่อขยายตามขวาง</t>
  </si>
  <si>
    <t>5.3 งานรอยต่อเผื่อหดตามขวาง</t>
  </si>
  <si>
    <t>5.4 งานรอยต่อตามยาว</t>
  </si>
  <si>
    <t>6.1 งานดินถมไหล่ทาง</t>
  </si>
  <si>
    <t>ระยะเวลาดำเนินการ  ............ วัน</t>
  </si>
  <si>
    <t>เสนอราคาเมื่อวันที่...................................................................</t>
  </si>
  <si>
    <t xml:space="preserve">        (................................................)</t>
  </si>
  <si>
    <t>ลงชื่อ.........................................................ผู้เสนอราคา</t>
  </si>
  <si>
    <t xml:space="preserve">   ประทับตราถ้ามี</t>
  </si>
  <si>
    <t>พาณิชย์ ฯ น่าน ข้อ29</t>
  </si>
  <si>
    <t>พาณิชย์ ฯ น่าน ข้อ150</t>
  </si>
  <si>
    <t>พาณิชย์ ฯ น่าน ข้อ153</t>
  </si>
  <si>
    <t>พาณิชย์ ฯ น่าน ข้อ156</t>
  </si>
  <si>
    <t>พาณิชย์ ฯ น่าน ข้อ131</t>
  </si>
  <si>
    <t>พาณิชย์ ฯ น่าน ข้อ128</t>
  </si>
  <si>
    <t>พาณิชย์ ฯ น่าน ข้อ144</t>
  </si>
  <si>
    <t>พาณิชย์ ฯ น่าน ข้อ56</t>
  </si>
  <si>
    <t>เขตฝนตกปกติ   ราคาน้ำมันโซล่าเฉลี่ยที่อำเภอเมือง  27.00 - 27.99  บาท/ลิตร</t>
  </si>
  <si>
    <t>กำหนดราคากลางวันที่           ธันวาคม  2561</t>
  </si>
  <si>
    <t>ระยะเวลาดำเนินการ  45 วัน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</si>
</sst>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"/>
    <numFmt numFmtId="203" formatCode="_(* #,##0.000_);_(* \(#,##0.000\);_(* &quot;-&quot;??_);_(@_)"/>
    <numFmt numFmtId="204" formatCode="_-* #,##0_-;\-* #,##0_-;_-* &quot;-&quot;??_-;_-@_-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AngsanaUPC"/>
      <family val="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  <family val="0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1"/>
      <name val="Times New Roman"/>
      <family val="1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ngsanaUPC"/>
      <family val="1"/>
    </font>
    <font>
      <sz val="14.4"/>
      <color indexed="8"/>
      <name val="TH SarabunPSK"/>
      <family val="2"/>
    </font>
    <font>
      <b/>
      <u val="single"/>
      <sz val="16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6"/>
      <color indexed="8"/>
      <name val="Calibri"/>
      <family val="2"/>
    </font>
    <font>
      <sz val="17.6"/>
      <color indexed="8"/>
      <name val="TH SarabunPSK"/>
      <family val="2"/>
    </font>
    <font>
      <sz val="16"/>
      <color indexed="18"/>
      <name val="TH SarabunPSK"/>
      <family val="2"/>
    </font>
    <font>
      <sz val="11"/>
      <name val="Tahoma"/>
      <family val="2"/>
    </font>
    <font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AngsanaUPC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1"/>
      <name val="Calibri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9" fontId="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8" fillId="21" borderId="1">
      <alignment horizontal="centerContinuous" vertical="top"/>
      <protection/>
    </xf>
    <xf numFmtId="0" fontId="5" fillId="0" borderId="0" applyFill="0" applyBorder="0" applyAlignment="0">
      <protection/>
    </xf>
    <xf numFmtId="193" fontId="13" fillId="0" borderId="0" applyFill="0" applyBorder="0" applyAlignment="0">
      <protection/>
    </xf>
    <xf numFmtId="0" fontId="16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3" fillId="0" borderId="0" applyFont="0" applyFill="0" applyBorder="0" applyAlignment="0" applyProtection="0"/>
    <xf numFmtId="14" fontId="20" fillId="0" borderId="0" applyFill="0" applyBorder="0" applyAlignment="0">
      <protection/>
    </xf>
    <xf numFmtId="15" fontId="21" fillId="22" borderId="0">
      <alignment horizontal="centerContinuous"/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8" fontId="19" fillId="21" borderId="0" applyNumberFormat="0" applyBorder="0" applyAlignment="0" applyProtection="0"/>
    <xf numFmtId="0" fontId="22" fillId="0" borderId="2" applyNumberFormat="0" applyAlignment="0" applyProtection="0"/>
    <xf numFmtId="0" fontId="22" fillId="0" borderId="3">
      <alignment horizontal="left" vertical="center"/>
      <protection/>
    </xf>
    <xf numFmtId="10" fontId="19" fillId="23" borderId="4" applyNumberFormat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7" fontId="6" fillId="0" borderId="0">
      <alignment/>
      <protection/>
    </xf>
    <xf numFmtId="195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0" fontId="23" fillId="2" borderId="0">
      <alignment/>
      <protection/>
    </xf>
    <xf numFmtId="49" fontId="20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9" fillId="24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6" applyNumberFormat="0" applyAlignment="0" applyProtection="0"/>
    <xf numFmtId="0" fontId="65" fillId="0" borderId="7" applyNumberFormat="0" applyFill="0" applyAlignment="0" applyProtection="0"/>
    <xf numFmtId="0" fontId="66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67" fillId="27" borderId="5" applyNumberFormat="0" applyAlignment="0" applyProtection="0"/>
    <xf numFmtId="0" fontId="68" fillId="28" borderId="0" applyNumberFormat="0" applyBorder="0" applyAlignment="0" applyProtection="0"/>
    <xf numFmtId="9" fontId="5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1" fillId="24" borderId="9" applyNumberFormat="0" applyAlignment="0" applyProtection="0"/>
    <xf numFmtId="0" fontId="0" fillId="36" borderId="10" applyNumberFormat="0" applyFont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4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5" fillId="0" borderId="0" xfId="139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7" fillId="0" borderId="0" xfId="0" applyFont="1" applyAlignment="1">
      <alignment/>
    </xf>
    <xf numFmtId="4" fontId="25" fillId="0" borderId="14" xfId="146" applyNumberFormat="1" applyFont="1" applyBorder="1" applyAlignment="1">
      <alignment horizontal="center" vertical="center"/>
      <protection/>
    </xf>
    <xf numFmtId="4" fontId="25" fillId="0" borderId="18" xfId="146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3" fontId="7" fillId="0" borderId="15" xfId="59" applyFont="1" applyBorder="1" applyAlignment="1">
      <alignment horizontal="right" vertical="center"/>
    </xf>
    <xf numFmtId="43" fontId="7" fillId="0" borderId="15" xfId="59" applyFont="1" applyBorder="1" applyAlignment="1">
      <alignment vertical="center"/>
    </xf>
    <xf numFmtId="43" fontId="7" fillId="0" borderId="14" xfId="5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200" fontId="7" fillId="0" borderId="15" xfId="59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59" applyFont="1" applyBorder="1" applyAlignment="1">
      <alignment horizontal="right" vertical="center"/>
    </xf>
    <xf numFmtId="43" fontId="7" fillId="0" borderId="18" xfId="59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201" fontId="7" fillId="0" borderId="0" xfId="0" applyNumberFormat="1" applyFont="1" applyBorder="1" applyAlignment="1">
      <alignment horizontal="right" vertical="center"/>
    </xf>
    <xf numFmtId="0" fontId="7" fillId="0" borderId="0" xfId="147" applyFont="1">
      <alignment/>
      <protection/>
    </xf>
    <xf numFmtId="200" fontId="7" fillId="0" borderId="18" xfId="59" applyNumberFormat="1" applyFont="1" applyBorder="1" applyAlignment="1">
      <alignment vertical="center"/>
    </xf>
    <xf numFmtId="43" fontId="7" fillId="0" borderId="16" xfId="59" applyFont="1" applyBorder="1" applyAlignment="1">
      <alignment vertical="center"/>
    </xf>
    <xf numFmtId="4" fontId="75" fillId="0" borderId="0" xfId="0" applyNumberFormat="1" applyFont="1" applyAlignment="1">
      <alignment/>
    </xf>
    <xf numFmtId="201" fontId="7" fillId="0" borderId="0" xfId="0" applyNumberFormat="1" applyFont="1" applyFill="1" applyBorder="1" applyAlignment="1">
      <alignment horizontal="center" vertical="center"/>
    </xf>
    <xf numFmtId="49" fontId="75" fillId="0" borderId="0" xfId="0" applyNumberFormat="1" applyFont="1" applyAlignment="1">
      <alignment/>
    </xf>
    <xf numFmtId="0" fontId="2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43" fontId="75" fillId="0" borderId="0" xfId="59" applyFont="1" applyBorder="1" applyAlignment="1">
      <alignment horizontal="right" indent="1"/>
    </xf>
    <xf numFmtId="0" fontId="7" fillId="0" borderId="0" xfId="0" applyFont="1" applyAlignment="1" applyProtection="1" quotePrefix="1">
      <alignment horizontal="left"/>
      <protection hidden="1"/>
    </xf>
    <xf numFmtId="43" fontId="75" fillId="0" borderId="20" xfId="59" applyFont="1" applyBorder="1" applyAlignment="1">
      <alignment horizontal="right" indent="1"/>
    </xf>
    <xf numFmtId="0" fontId="7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59" applyFont="1" applyBorder="1" applyAlignment="1">
      <alignment horizontal="right" vertical="center" indent="1"/>
    </xf>
    <xf numFmtId="0" fontId="31" fillId="0" borderId="0" xfId="0" applyFont="1" applyAlignment="1">
      <alignment/>
    </xf>
    <xf numFmtId="0" fontId="7" fillId="0" borderId="0" xfId="0" applyFont="1" applyAlignment="1">
      <alignment horizontal="right"/>
    </xf>
    <xf numFmtId="43" fontId="76" fillId="37" borderId="24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25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43" fontId="7" fillId="0" borderId="0" xfId="0" applyNumberFormat="1" applyFont="1" applyBorder="1" applyAlignment="1">
      <alignment/>
    </xf>
    <xf numFmtId="43" fontId="7" fillId="0" borderId="0" xfId="0" applyNumberFormat="1" applyFont="1" applyFill="1" applyBorder="1" applyAlignment="1">
      <alignment/>
    </xf>
    <xf numFmtId="4" fontId="75" fillId="0" borderId="20" xfId="59" applyNumberFormat="1" applyFont="1" applyBorder="1" applyAlignment="1">
      <alignment horizontal="right" indent="1"/>
    </xf>
    <xf numFmtId="4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133" applyFont="1">
      <alignment/>
      <protection/>
    </xf>
    <xf numFmtId="0" fontId="31" fillId="0" borderId="0" xfId="133" applyFont="1">
      <alignment/>
      <protection/>
    </xf>
    <xf numFmtId="0" fontId="31" fillId="0" borderId="0" xfId="133" applyFont="1" applyFill="1" applyAlignment="1">
      <alignment horizontal="center"/>
      <protection/>
    </xf>
    <xf numFmtId="0" fontId="25" fillId="0" borderId="0" xfId="133" applyFont="1" applyAlignment="1">
      <alignment horizontal="center"/>
      <protection/>
    </xf>
    <xf numFmtId="202" fontId="25" fillId="0" borderId="0" xfId="133" applyNumberFormat="1" applyFont="1" applyFill="1" applyAlignment="1">
      <alignment horizontal="center"/>
      <protection/>
    </xf>
    <xf numFmtId="0" fontId="25" fillId="0" borderId="0" xfId="133" applyFont="1">
      <alignment/>
      <protection/>
    </xf>
    <xf numFmtId="0" fontId="77" fillId="0" borderId="0" xfId="0" applyFont="1" applyAlignment="1">
      <alignment/>
    </xf>
    <xf numFmtId="0" fontId="7" fillId="0" borderId="0" xfId="133" applyFont="1" applyBorder="1" applyAlignment="1">
      <alignment horizontal="center"/>
      <protection/>
    </xf>
    <xf numFmtId="0" fontId="31" fillId="0" borderId="0" xfId="133" applyFont="1" applyBorder="1" applyAlignment="1">
      <alignment horizontal="center"/>
      <protection/>
    </xf>
    <xf numFmtId="0" fontId="7" fillId="0" borderId="0" xfId="133" applyFont="1" applyBorder="1" applyAlignment="1">
      <alignment/>
      <protection/>
    </xf>
    <xf numFmtId="0" fontId="7" fillId="0" borderId="0" xfId="133" applyFont="1" applyAlignment="1">
      <alignment horizontal="left"/>
      <protection/>
    </xf>
    <xf numFmtId="4" fontId="7" fillId="0" borderId="0" xfId="133" applyNumberFormat="1" applyFont="1" applyFill="1" applyBorder="1" applyAlignment="1">
      <alignment/>
      <protection/>
    </xf>
    <xf numFmtId="2" fontId="7" fillId="0" borderId="0" xfId="133" applyNumberFormat="1" applyFont="1" applyBorder="1" applyAlignment="1">
      <alignment/>
      <protection/>
    </xf>
    <xf numFmtId="0" fontId="7" fillId="0" borderId="0" xfId="133" applyFont="1" applyBorder="1">
      <alignment/>
      <protection/>
    </xf>
    <xf numFmtId="4" fontId="7" fillId="0" borderId="25" xfId="133" applyNumberFormat="1" applyFont="1" applyFill="1" applyBorder="1" applyAlignment="1">
      <alignment horizontal="center"/>
      <protection/>
    </xf>
    <xf numFmtId="2" fontId="7" fillId="0" borderId="0" xfId="133" applyNumberFormat="1" applyFont="1" applyBorder="1" applyAlignment="1">
      <alignment horizontal="center"/>
      <protection/>
    </xf>
    <xf numFmtId="0" fontId="7" fillId="0" borderId="0" xfId="133" applyFont="1" applyFill="1" applyBorder="1" applyAlignment="1">
      <alignment horizontal="center"/>
      <protection/>
    </xf>
    <xf numFmtId="0" fontId="34" fillId="0" borderId="0" xfId="133" applyFont="1" applyFill="1" applyBorder="1">
      <alignment/>
      <protection/>
    </xf>
    <xf numFmtId="0" fontId="7" fillId="0" borderId="0" xfId="133" applyFont="1" applyFill="1" applyBorder="1">
      <alignment/>
      <protection/>
    </xf>
    <xf numFmtId="187" fontId="7" fillId="0" borderId="0" xfId="59" applyNumberFormat="1" applyFont="1" applyBorder="1" applyAlignment="1">
      <alignment horizontal="center"/>
    </xf>
    <xf numFmtId="0" fontId="7" fillId="0" borderId="25" xfId="133" applyFont="1" applyBorder="1">
      <alignment/>
      <protection/>
    </xf>
    <xf numFmtId="0" fontId="7" fillId="0" borderId="1" xfId="133" applyFont="1" applyBorder="1" applyAlignment="1">
      <alignment horizontal="center"/>
      <protection/>
    </xf>
    <xf numFmtId="0" fontId="7" fillId="0" borderId="4" xfId="133" applyFont="1" applyBorder="1" applyAlignment="1">
      <alignment horizontal="center"/>
      <protection/>
    </xf>
    <xf numFmtId="0" fontId="7" fillId="0" borderId="16" xfId="133" applyFont="1" applyBorder="1" applyAlignment="1">
      <alignment/>
      <protection/>
    </xf>
    <xf numFmtId="187" fontId="7" fillId="0" borderId="26" xfId="133" applyNumberFormat="1" applyFont="1" applyBorder="1" applyAlignment="1">
      <alignment horizontal="center"/>
      <protection/>
    </xf>
    <xf numFmtId="187" fontId="7" fillId="0" borderId="1" xfId="59" applyNumberFormat="1" applyFont="1" applyBorder="1" applyAlignment="1">
      <alignment horizontal="center"/>
    </xf>
    <xf numFmtId="187" fontId="7" fillId="0" borderId="4" xfId="59" applyNumberFormat="1" applyFont="1" applyBorder="1" applyAlignment="1">
      <alignment/>
    </xf>
    <xf numFmtId="187" fontId="7" fillId="0" borderId="27" xfId="133" applyNumberFormat="1" applyFont="1" applyBorder="1" applyAlignment="1">
      <alignment horizontal="center"/>
      <protection/>
    </xf>
    <xf numFmtId="0" fontId="7" fillId="0" borderId="19" xfId="133" applyFont="1" applyBorder="1" applyAlignment="1">
      <alignment/>
      <protection/>
    </xf>
    <xf numFmtId="0" fontId="7" fillId="0" borderId="20" xfId="133" applyFont="1" applyBorder="1">
      <alignment/>
      <protection/>
    </xf>
    <xf numFmtId="0" fontId="7" fillId="0" borderId="20" xfId="133" applyFont="1" applyBorder="1" applyAlignment="1">
      <alignment horizontal="center"/>
      <protection/>
    </xf>
    <xf numFmtId="0" fontId="7" fillId="38" borderId="1" xfId="133" applyFont="1" applyFill="1" applyBorder="1" applyAlignment="1">
      <alignment horizontal="center"/>
      <protection/>
    </xf>
    <xf numFmtId="0" fontId="7" fillId="38" borderId="4" xfId="133" applyFont="1" applyFill="1" applyBorder="1" applyAlignment="1">
      <alignment horizontal="center"/>
      <protection/>
    </xf>
    <xf numFmtId="187" fontId="7" fillId="0" borderId="4" xfId="59" applyNumberFormat="1" applyFont="1" applyBorder="1" applyAlignment="1">
      <alignment horizontal="center"/>
    </xf>
    <xf numFmtId="202" fontId="25" fillId="38" borderId="28" xfId="133" applyNumberFormat="1" applyFont="1" applyFill="1" applyBorder="1" applyAlignment="1">
      <alignment horizontal="center"/>
      <protection/>
    </xf>
    <xf numFmtId="0" fontId="75" fillId="0" borderId="0" xfId="0" applyFont="1" applyAlignment="1">
      <alignment horizontal="center"/>
    </xf>
    <xf numFmtId="43" fontId="7" fillId="0" borderId="0" xfId="59" applyFont="1" applyBorder="1" applyAlignment="1">
      <alignment vertical="center"/>
    </xf>
    <xf numFmtId="0" fontId="7" fillId="0" borderId="0" xfId="133" applyFont="1" applyAlignment="1">
      <alignment horizontal="right"/>
      <protection/>
    </xf>
    <xf numFmtId="43" fontId="7" fillId="0" borderId="20" xfId="59" applyNumberFormat="1" applyFont="1" applyBorder="1" applyAlignment="1">
      <alignment/>
    </xf>
    <xf numFmtId="43" fontId="25" fillId="0" borderId="29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03" fontId="7" fillId="0" borderId="0" xfId="59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203" fontId="76" fillId="38" borderId="30" xfId="59" applyNumberFormat="1" applyFont="1" applyFill="1" applyBorder="1" applyAlignment="1" applyProtection="1">
      <alignment/>
      <protection hidden="1"/>
    </xf>
    <xf numFmtId="203" fontId="76" fillId="38" borderId="31" xfId="59" applyNumberFormat="1" applyFont="1" applyFill="1" applyBorder="1" applyAlignment="1" applyProtection="1">
      <alignment/>
      <protection hidden="1"/>
    </xf>
    <xf numFmtId="187" fontId="76" fillId="38" borderId="31" xfId="59" applyNumberFormat="1" applyFont="1" applyFill="1" applyBorder="1" applyAlignment="1" applyProtection="1">
      <alignment/>
      <protection hidden="1"/>
    </xf>
    <xf numFmtId="0" fontId="25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3" fontId="7" fillId="0" borderId="17" xfId="59" applyFont="1" applyBorder="1" applyAlignment="1">
      <alignment vertical="center"/>
    </xf>
    <xf numFmtId="43" fontId="7" fillId="0" borderId="32" xfId="59" applyFont="1" applyBorder="1" applyAlignment="1">
      <alignment vertical="center"/>
    </xf>
    <xf numFmtId="43" fontId="7" fillId="0" borderId="23" xfId="59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3" fontId="7" fillId="0" borderId="20" xfId="59" applyFont="1" applyBorder="1" applyAlignment="1">
      <alignment horizontal="right" vertical="center"/>
    </xf>
    <xf numFmtId="43" fontId="7" fillId="0" borderId="19" xfId="59" applyFont="1" applyBorder="1" applyAlignment="1">
      <alignment vertical="center"/>
    </xf>
    <xf numFmtId="43" fontId="7" fillId="0" borderId="21" xfId="59" applyFont="1" applyBorder="1" applyAlignment="1">
      <alignment vertical="center"/>
    </xf>
    <xf numFmtId="43" fontId="25" fillId="0" borderId="33" xfId="59" applyNumberFormat="1" applyFont="1" applyBorder="1" applyAlignment="1">
      <alignment/>
    </xf>
    <xf numFmtId="43" fontId="25" fillId="0" borderId="4" xfId="59" applyNumberFormat="1" applyFont="1" applyBorder="1" applyAlignment="1">
      <alignment/>
    </xf>
    <xf numFmtId="0" fontId="7" fillId="0" borderId="0" xfId="0" applyFont="1" applyAlignment="1" applyProtection="1">
      <alignment horizontal="left"/>
      <protection hidden="1"/>
    </xf>
    <xf numFmtId="203" fontId="7" fillId="0" borderId="30" xfId="59" applyNumberFormat="1" applyFont="1" applyFill="1" applyBorder="1" applyAlignment="1" applyProtection="1">
      <alignment/>
      <protection hidden="1"/>
    </xf>
    <xf numFmtId="187" fontId="7" fillId="0" borderId="30" xfId="59" applyNumberFormat="1" applyFont="1" applyBorder="1" applyAlignment="1" applyProtection="1">
      <alignment/>
      <protection hidden="1"/>
    </xf>
    <xf numFmtId="43" fontId="75" fillId="0" borderId="31" xfId="59" applyFont="1" applyBorder="1" applyAlignment="1">
      <alignment horizontal="right" indent="1"/>
    </xf>
    <xf numFmtId="43" fontId="7" fillId="37" borderId="24" xfId="0" applyNumberFormat="1" applyFont="1" applyFill="1" applyBorder="1" applyAlignment="1">
      <alignment/>
    </xf>
    <xf numFmtId="187" fontId="7" fillId="0" borderId="30" xfId="59" applyNumberFormat="1" applyFont="1" applyFill="1" applyBorder="1" applyAlignment="1" applyProtection="1">
      <alignment/>
      <protection hidden="1"/>
    </xf>
    <xf numFmtId="0" fontId="78" fillId="0" borderId="0" xfId="0" applyFont="1" applyAlignment="1">
      <alignment/>
    </xf>
    <xf numFmtId="43" fontId="75" fillId="0" borderId="0" xfId="59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204" fontId="7" fillId="0" borderId="0" xfId="59" applyNumberFormat="1" applyFont="1" applyBorder="1" applyAlignment="1">
      <alignment/>
    </xf>
    <xf numFmtId="43" fontId="76" fillId="0" borderId="0" xfId="59" applyFont="1" applyBorder="1" applyAlignment="1">
      <alignment horizontal="center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87" fontId="7" fillId="0" borderId="0" xfId="59" applyNumberFormat="1" applyFont="1" applyBorder="1" applyAlignment="1">
      <alignment/>
    </xf>
    <xf numFmtId="43" fontId="7" fillId="0" borderId="0" xfId="59" applyFont="1" applyFill="1" applyBorder="1" applyAlignment="1">
      <alignment/>
    </xf>
    <xf numFmtId="187" fontId="7" fillId="0" borderId="0" xfId="59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3" fontId="79" fillId="0" borderId="0" xfId="59" applyFont="1" applyBorder="1" applyAlignment="1">
      <alignment horizontal="center"/>
    </xf>
    <xf numFmtId="0" fontId="75" fillId="0" borderId="0" xfId="0" applyFont="1" applyBorder="1" applyAlignment="1">
      <alignment horizontal="right"/>
    </xf>
    <xf numFmtId="43" fontId="76" fillId="37" borderId="29" xfId="0" applyNumberFormat="1" applyFont="1" applyFill="1" applyBorder="1" applyAlignment="1">
      <alignment/>
    </xf>
    <xf numFmtId="43" fontId="7" fillId="0" borderId="0" xfId="59" applyNumberFormat="1" applyFont="1" applyBorder="1" applyAlignment="1">
      <alignment/>
    </xf>
    <xf numFmtId="187" fontId="7" fillId="38" borderId="0" xfId="59" applyNumberFormat="1" applyFont="1" applyFill="1" applyBorder="1" applyAlignment="1">
      <alignment/>
    </xf>
    <xf numFmtId="43" fontId="7" fillId="0" borderId="3" xfId="59" applyFont="1" applyBorder="1" applyAlignment="1">
      <alignment vertical="center"/>
    </xf>
    <xf numFmtId="43" fontId="25" fillId="0" borderId="0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59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80" fillId="0" borderId="0" xfId="0" applyFont="1" applyAlignment="1">
      <alignment/>
    </xf>
    <xf numFmtId="43" fontId="7" fillId="0" borderId="0" xfId="59" applyFont="1" applyBorder="1" applyAlignment="1">
      <alignment horizontal="right" indent="1"/>
    </xf>
    <xf numFmtId="43" fontId="7" fillId="0" borderId="0" xfId="5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59" applyNumberFormat="1" applyFont="1" applyBorder="1" applyAlignment="1">
      <alignment vertical="center"/>
    </xf>
    <xf numFmtId="187" fontId="7" fillId="0" borderId="31" xfId="59" applyNumberFormat="1" applyFont="1" applyFill="1" applyBorder="1" applyAlignment="1">
      <alignment/>
    </xf>
    <xf numFmtId="0" fontId="75" fillId="0" borderId="15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43" fontId="75" fillId="0" borderId="0" xfId="59" applyFont="1" applyAlignment="1">
      <alignment/>
    </xf>
    <xf numFmtId="4" fontId="75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4" fontId="7" fillId="0" borderId="2" xfId="0" applyNumberFormat="1" applyFont="1" applyFill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7" fontId="7" fillId="38" borderId="4" xfId="59" applyNumberFormat="1" applyFont="1" applyFill="1" applyBorder="1" applyAlignment="1">
      <alignment/>
    </xf>
    <xf numFmtId="187" fontId="7" fillId="38" borderId="1" xfId="59" applyNumberFormat="1" applyFont="1" applyFill="1" applyBorder="1" applyAlignment="1">
      <alignment horizontal="center"/>
    </xf>
    <xf numFmtId="0" fontId="7" fillId="0" borderId="0" xfId="133" applyFont="1" applyAlignment="1">
      <alignment horizontal="center"/>
      <protection/>
    </xf>
    <xf numFmtId="4" fontId="7" fillId="38" borderId="27" xfId="133" applyNumberFormat="1" applyFont="1" applyFill="1" applyBorder="1" applyAlignment="1">
      <alignment horizontal="center"/>
      <protection/>
    </xf>
    <xf numFmtId="0" fontId="75" fillId="0" borderId="34" xfId="0" applyFont="1" applyBorder="1" applyAlignment="1">
      <alignment horizontal="center"/>
    </xf>
    <xf numFmtId="0" fontId="75" fillId="0" borderId="26" xfId="0" applyFont="1" applyBorder="1" applyAlignment="1">
      <alignment horizontal="left"/>
    </xf>
    <xf numFmtId="0" fontId="75" fillId="0" borderId="26" xfId="0" applyFont="1" applyBorder="1" applyAlignment="1">
      <alignment horizontal="center"/>
    </xf>
    <xf numFmtId="0" fontId="75" fillId="0" borderId="35" xfId="0" applyFont="1" applyBorder="1" applyAlignment="1">
      <alignment horizontal="center"/>
    </xf>
    <xf numFmtId="43" fontId="7" fillId="38" borderId="34" xfId="59" applyFont="1" applyFill="1" applyBorder="1" applyAlignment="1">
      <alignment horizontal="center"/>
    </xf>
    <xf numFmtId="43" fontId="75" fillId="0" borderId="34" xfId="59" applyFont="1" applyBorder="1" applyAlignment="1">
      <alignment/>
    </xf>
    <xf numFmtId="43" fontId="75" fillId="0" borderId="34" xfId="59" applyFont="1" applyBorder="1" applyAlignment="1">
      <alignment horizontal="center"/>
    </xf>
    <xf numFmtId="0" fontId="75" fillId="0" borderId="36" xfId="0" applyFont="1" applyBorder="1" applyAlignment="1">
      <alignment horizontal="center"/>
    </xf>
    <xf numFmtId="0" fontId="7" fillId="0" borderId="27" xfId="142" applyFont="1" applyBorder="1">
      <alignment/>
      <protection/>
    </xf>
    <xf numFmtId="0" fontId="75" fillId="0" borderId="27" xfId="0" applyFont="1" applyBorder="1" applyAlignment="1">
      <alignment/>
    </xf>
    <xf numFmtId="0" fontId="75" fillId="0" borderId="37" xfId="0" applyFont="1" applyBorder="1" applyAlignment="1">
      <alignment/>
    </xf>
    <xf numFmtId="43" fontId="7" fillId="38" borderId="36" xfId="59" applyFont="1" applyFill="1" applyBorder="1" applyAlignment="1">
      <alignment/>
    </xf>
    <xf numFmtId="43" fontId="75" fillId="0" borderId="36" xfId="59" applyFont="1" applyBorder="1" applyAlignment="1">
      <alignment/>
    </xf>
    <xf numFmtId="43" fontId="75" fillId="0" borderId="36" xfId="59" applyFont="1" applyBorder="1" applyAlignment="1">
      <alignment horizontal="center"/>
    </xf>
    <xf numFmtId="0" fontId="7" fillId="0" borderId="27" xfId="144" applyFont="1" applyBorder="1">
      <alignment/>
      <protection/>
    </xf>
    <xf numFmtId="0" fontId="7" fillId="0" borderId="27" xfId="145" applyFont="1" applyBorder="1">
      <alignment/>
      <protection/>
    </xf>
    <xf numFmtId="43" fontId="76" fillId="38" borderId="36" xfId="59" applyFont="1" applyFill="1" applyBorder="1" applyAlignment="1">
      <alignment/>
    </xf>
    <xf numFmtId="0" fontId="75" fillId="0" borderId="27" xfId="0" applyFont="1" applyBorder="1" applyAlignment="1">
      <alignment horizontal="left"/>
    </xf>
    <xf numFmtId="0" fontId="75" fillId="0" borderId="38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5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5" fillId="0" borderId="41" xfId="0" applyFont="1" applyBorder="1" applyAlignment="1">
      <alignment/>
    </xf>
    <xf numFmtId="0" fontId="75" fillId="0" borderId="42" xfId="0" applyFont="1" applyBorder="1" applyAlignment="1">
      <alignment/>
    </xf>
    <xf numFmtId="0" fontId="75" fillId="0" borderId="39" xfId="0" applyFont="1" applyBorder="1" applyAlignment="1">
      <alignment/>
    </xf>
    <xf numFmtId="43" fontId="75" fillId="0" borderId="39" xfId="59" applyFont="1" applyBorder="1" applyAlignment="1">
      <alignment/>
    </xf>
    <xf numFmtId="0" fontId="7" fillId="0" borderId="0" xfId="133" applyFont="1" applyAlignment="1">
      <alignment horizontal="center" vertical="center"/>
      <protection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" fillId="38" borderId="36" xfId="59" applyFont="1" applyFill="1" applyBorder="1" applyAlignment="1">
      <alignment horizontal="right" vertical="center" indent="1"/>
    </xf>
    <xf numFmtId="43" fontId="76" fillId="0" borderId="36" xfId="59" applyFont="1" applyFill="1" applyBorder="1" applyAlignment="1">
      <alignment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81" fillId="0" borderId="34" xfId="0" applyFont="1" applyBorder="1" applyAlignment="1">
      <alignment horizontal="left"/>
    </xf>
    <xf numFmtId="0" fontId="81" fillId="0" borderId="36" xfId="0" applyFont="1" applyBorder="1" applyAlignment="1">
      <alignment horizontal="left"/>
    </xf>
    <xf numFmtId="0" fontId="7" fillId="0" borderId="0" xfId="0" applyFont="1" applyAlignment="1">
      <alignment horizont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7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horizont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201" fontId="7" fillId="38" borderId="43" xfId="0" applyNumberFormat="1" applyFont="1" applyFill="1" applyBorder="1" applyAlignment="1">
      <alignment horizontal="center" vertical="center"/>
    </xf>
    <xf numFmtId="201" fontId="7" fillId="38" borderId="2" xfId="0" applyNumberFormat="1" applyFont="1" applyFill="1" applyBorder="1" applyAlignment="1">
      <alignment horizontal="center" vertical="center"/>
    </xf>
    <xf numFmtId="201" fontId="7" fillId="38" borderId="44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/>
    </xf>
    <xf numFmtId="43" fontId="7" fillId="0" borderId="32" xfId="59" applyFont="1" applyBorder="1" applyAlignment="1">
      <alignment horizontal="center" vertical="center"/>
    </xf>
    <xf numFmtId="43" fontId="7" fillId="0" borderId="23" xfId="59" applyFont="1" applyBorder="1" applyAlignment="1">
      <alignment horizontal="center" vertical="center"/>
    </xf>
    <xf numFmtId="0" fontId="25" fillId="0" borderId="14" xfId="146" applyFont="1" applyBorder="1" applyAlignment="1">
      <alignment horizontal="center" vertical="center"/>
      <protection/>
    </xf>
    <xf numFmtId="0" fontId="25" fillId="0" borderId="18" xfId="146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4" xfId="146" applyNumberFormat="1" applyFont="1" applyBorder="1" applyAlignment="1">
      <alignment horizontal="center" vertical="center"/>
      <protection/>
    </xf>
    <xf numFmtId="3" fontId="25" fillId="0" borderId="18" xfId="146" applyNumberFormat="1" applyFont="1" applyBorder="1" applyAlignment="1">
      <alignment horizontal="center" vertical="center"/>
      <protection/>
    </xf>
    <xf numFmtId="4" fontId="25" fillId="0" borderId="32" xfId="146" applyNumberFormat="1" applyFont="1" applyBorder="1" applyAlignment="1">
      <alignment horizontal="center" vertical="center"/>
      <protection/>
    </xf>
    <xf numFmtId="4" fontId="25" fillId="0" borderId="23" xfId="146" applyNumberFormat="1" applyFont="1" applyBorder="1" applyAlignment="1">
      <alignment horizontal="center" vertical="center"/>
      <protection/>
    </xf>
    <xf numFmtId="4" fontId="25" fillId="0" borderId="19" xfId="146" applyNumberFormat="1" applyFont="1" applyBorder="1" applyAlignment="1">
      <alignment horizontal="center" vertical="center"/>
      <protection/>
    </xf>
    <xf numFmtId="4" fontId="25" fillId="0" borderId="21" xfId="146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4" fontId="7" fillId="38" borderId="28" xfId="133" applyNumberFormat="1" applyFont="1" applyFill="1" applyBorder="1" applyAlignment="1">
      <alignment horizontal="center"/>
      <protection/>
    </xf>
    <xf numFmtId="0" fontId="7" fillId="0" borderId="0" xfId="133" applyFont="1" applyAlignment="1">
      <alignment horizontal="center"/>
      <protection/>
    </xf>
    <xf numFmtId="4" fontId="7" fillId="0" borderId="27" xfId="133" applyNumberFormat="1" applyFont="1" applyFill="1" applyBorder="1" applyAlignment="1">
      <alignment horizontal="center"/>
      <protection/>
    </xf>
    <xf numFmtId="43" fontId="7" fillId="0" borderId="27" xfId="59" applyFont="1" applyFill="1" applyBorder="1" applyAlignment="1">
      <alignment horizontal="center"/>
    </xf>
    <xf numFmtId="4" fontId="7" fillId="0" borderId="28" xfId="133" applyNumberFormat="1" applyFont="1" applyFill="1" applyBorder="1" applyAlignment="1">
      <alignment horizontal="center"/>
      <protection/>
    </xf>
    <xf numFmtId="43" fontId="7" fillId="38" borderId="28" xfId="59" applyFont="1" applyFill="1" applyBorder="1" applyAlignment="1">
      <alignment horizontal="center"/>
    </xf>
    <xf numFmtId="4" fontId="7" fillId="38" borderId="27" xfId="133" applyNumberFormat="1" applyFont="1" applyFill="1" applyBorder="1" applyAlignment="1">
      <alignment horizontal="center"/>
      <protection/>
    </xf>
    <xf numFmtId="2" fontId="7" fillId="0" borderId="28" xfId="133" applyNumberFormat="1" applyFont="1" applyFill="1" applyBorder="1" applyAlignment="1">
      <alignment horizontal="center"/>
      <protection/>
    </xf>
    <xf numFmtId="2" fontId="7" fillId="38" borderId="28" xfId="133" applyNumberFormat="1" applyFont="1" applyFill="1" applyBorder="1" applyAlignment="1">
      <alignment horizontal="center"/>
      <protection/>
    </xf>
    <xf numFmtId="0" fontId="7" fillId="0" borderId="14" xfId="133" applyFont="1" applyBorder="1" applyAlignment="1">
      <alignment horizontal="center" vertical="center"/>
      <protection/>
    </xf>
    <xf numFmtId="0" fontId="7" fillId="0" borderId="18" xfId="133" applyFont="1" applyBorder="1" applyAlignment="1">
      <alignment horizontal="center" vertical="center"/>
      <protection/>
    </xf>
    <xf numFmtId="0" fontId="7" fillId="0" borderId="1" xfId="133" applyFont="1" applyBorder="1" applyAlignment="1">
      <alignment horizontal="center"/>
      <protection/>
    </xf>
    <xf numFmtId="0" fontId="7" fillId="0" borderId="3" xfId="133" applyFont="1" applyBorder="1" applyAlignment="1">
      <alignment horizontal="center"/>
      <protection/>
    </xf>
    <xf numFmtId="0" fontId="7" fillId="0" borderId="32" xfId="133" applyFont="1" applyBorder="1" applyAlignment="1">
      <alignment horizontal="center" vertical="center"/>
      <protection/>
    </xf>
    <xf numFmtId="0" fontId="7" fillId="0" borderId="22" xfId="133" applyFont="1" applyBorder="1" applyAlignment="1">
      <alignment horizontal="center" vertical="center"/>
      <protection/>
    </xf>
    <xf numFmtId="0" fontId="7" fillId="0" borderId="19" xfId="133" applyFont="1" applyBorder="1" applyAlignment="1">
      <alignment horizontal="center" vertical="center"/>
      <protection/>
    </xf>
    <xf numFmtId="0" fontId="7" fillId="0" borderId="20" xfId="133" applyFont="1" applyBorder="1" applyAlignment="1">
      <alignment horizontal="center" vertical="center"/>
      <protection/>
    </xf>
    <xf numFmtId="43" fontId="7" fillId="0" borderId="0" xfId="59" applyNumberFormat="1" applyFont="1" applyFill="1" applyBorder="1" applyAlignment="1">
      <alignment horizontal="right"/>
    </xf>
    <xf numFmtId="43" fontId="7" fillId="38" borderId="0" xfId="59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201" fontId="7" fillId="0" borderId="43" xfId="0" applyNumberFormat="1" applyFont="1" applyFill="1" applyBorder="1" applyAlignment="1">
      <alignment horizontal="center" vertical="center"/>
    </xf>
    <xf numFmtId="201" fontId="7" fillId="0" borderId="2" xfId="0" applyNumberFormat="1" applyFont="1" applyFill="1" applyBorder="1" applyAlignment="1">
      <alignment horizontal="center" vertical="center"/>
    </xf>
    <xf numFmtId="201" fontId="7" fillId="0" borderId="44" xfId="0" applyNumberFormat="1" applyFont="1" applyFill="1" applyBorder="1" applyAlignment="1">
      <alignment horizontal="center" vertical="center"/>
    </xf>
  </cellXfs>
  <cellStyles count="15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?PERSONAL 2" xfId="23"/>
    <cellStyle name="????_????" xfId="24"/>
    <cellStyle name="???[0]_PERSONAL" xfId="25"/>
    <cellStyle name="???_PERSONAL" xfId="26"/>
    <cellStyle name="??_??" xfId="27"/>
    <cellStyle name="?@??laroux" xfId="28"/>
    <cellStyle name="=C:\WINDOWS\SYSTEM32\COMMAND.COM" xfId="29"/>
    <cellStyle name="20% - ส่วนที่ถูกเน้น1" xfId="30"/>
    <cellStyle name="20% - ส่วนที่ถูกเน้น2" xfId="31"/>
    <cellStyle name="20% - ส่วนที่ถูกเน้น3" xfId="32"/>
    <cellStyle name="20% - ส่วนที่ถูกเน้น4" xfId="33"/>
    <cellStyle name="20% - ส่วนที่ถูกเน้น5" xfId="34"/>
    <cellStyle name="20% - ส่วนที่ถูกเน้น6" xfId="35"/>
    <cellStyle name="40% - ส่วนที่ถูกเน้น1" xfId="36"/>
    <cellStyle name="40% - ส่วนที่ถูกเน้น2" xfId="37"/>
    <cellStyle name="40% - ส่วนที่ถูกเน้น3" xfId="38"/>
    <cellStyle name="40% - ส่วนที่ถูกเน้น4" xfId="39"/>
    <cellStyle name="40% - ส่วนที่ถูกเน้น5" xfId="40"/>
    <cellStyle name="40% - ส่วนที่ถูกเน้น6" xfId="41"/>
    <cellStyle name="60% - ส่วนที่ถูกเน้น1" xfId="42"/>
    <cellStyle name="60% - ส่วนที่ถูกเน้น2" xfId="43"/>
    <cellStyle name="60% - ส่วนที่ถูกเน้น3" xfId="44"/>
    <cellStyle name="60% - ส่วนที่ถูกเน้น4" xfId="45"/>
    <cellStyle name="60% - ส่วนที่ถูกเน้น5" xfId="46"/>
    <cellStyle name="60% - ส่วนที่ถูกเน้น6" xfId="47"/>
    <cellStyle name="abc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0) 2" xfId="55"/>
    <cellStyle name="Calc Units (1)" xfId="56"/>
    <cellStyle name="Calc Units (1) 2" xfId="57"/>
    <cellStyle name="Calc Units (2)" xfId="58"/>
    <cellStyle name="Comma" xfId="59"/>
    <cellStyle name="Comma [0]" xfId="60"/>
    <cellStyle name="Comma [00]" xfId="61"/>
    <cellStyle name="Comma [00] 2" xfId="62"/>
    <cellStyle name="Comma 6" xfId="63"/>
    <cellStyle name="company_title" xfId="64"/>
    <cellStyle name="Currency" xfId="65"/>
    <cellStyle name="Currency [0]" xfId="66"/>
    <cellStyle name="Currency [00]" xfId="67"/>
    <cellStyle name="Date Short" xfId="68"/>
    <cellStyle name="date_format" xfId="69"/>
    <cellStyle name="Enter Currency (0)" xfId="70"/>
    <cellStyle name="Enter Currency (0) 2" xfId="71"/>
    <cellStyle name="Enter Currency (2)" xfId="72"/>
    <cellStyle name="Enter Units (0)" xfId="73"/>
    <cellStyle name="Enter Units (0) 2" xfId="74"/>
    <cellStyle name="Enter Units (1)" xfId="75"/>
    <cellStyle name="Enter Units (1) 2" xfId="76"/>
    <cellStyle name="Enter Units (2)" xfId="77"/>
    <cellStyle name="Grey" xfId="78"/>
    <cellStyle name="Header1" xfId="79"/>
    <cellStyle name="Header2" xfId="80"/>
    <cellStyle name="Input [yellow]" xfId="81"/>
    <cellStyle name="Link Currency (0)" xfId="82"/>
    <cellStyle name="Link Currency (0) 2" xfId="83"/>
    <cellStyle name="Link Currency (2)" xfId="84"/>
    <cellStyle name="Link Units (0)" xfId="85"/>
    <cellStyle name="Link Units (0) 2" xfId="86"/>
    <cellStyle name="Link Units (1)" xfId="87"/>
    <cellStyle name="Link Units (1) 2" xfId="88"/>
    <cellStyle name="Link Units (2)" xfId="89"/>
    <cellStyle name="no dec" xfId="90"/>
    <cellStyle name="Normal - Style1" xfId="91"/>
    <cellStyle name="Normal - Style1 2" xfId="92"/>
    <cellStyle name="Normal 4" xfId="93"/>
    <cellStyle name="Nor聭al_ภาคกลาง" xfId="94"/>
    <cellStyle name="ParaBirimi [0]_RESULTS" xfId="95"/>
    <cellStyle name="ParaBirimi_RESULTS" xfId="96"/>
    <cellStyle name="Percent" xfId="97"/>
    <cellStyle name="Percent [0]" xfId="98"/>
    <cellStyle name="Percent [00]" xfId="99"/>
    <cellStyle name="Percent [2]" xfId="100"/>
    <cellStyle name="PrePop Currency (0)" xfId="101"/>
    <cellStyle name="PrePop Currency (0) 2" xfId="102"/>
    <cellStyle name="PrePop Currency (2)" xfId="103"/>
    <cellStyle name="PrePop Units (0)" xfId="104"/>
    <cellStyle name="PrePop Units (0) 2" xfId="105"/>
    <cellStyle name="PrePop Units (1)" xfId="106"/>
    <cellStyle name="PrePop Units (1) 2" xfId="107"/>
    <cellStyle name="PrePop Units (2)" xfId="108"/>
    <cellStyle name="report_title" xfId="109"/>
    <cellStyle name="Text Indent A" xfId="110"/>
    <cellStyle name="Text Indent B" xfId="111"/>
    <cellStyle name="Text Indent C" xfId="112"/>
    <cellStyle name="Virg? [0]_RESULTS" xfId="113"/>
    <cellStyle name="Virg?_RESULTS" xfId="114"/>
    <cellStyle name="การคำนวณ" xfId="115"/>
    <cellStyle name="ข้อความเตือน" xfId="116"/>
    <cellStyle name="ข้อความอธิบาย" xfId="117"/>
    <cellStyle name="เครื่องหมายจุลภาค 2 2" xfId="118"/>
    <cellStyle name="เครื่องหมายจุลภาค 3 2" xfId="119"/>
    <cellStyle name="เครื่องหมายจุลภาค 4 2" xfId="120"/>
    <cellStyle name="เครื่องหมายจุลภาค 5 2" xfId="121"/>
    <cellStyle name="เครื่องหมายจุลภาค 6" xfId="122"/>
    <cellStyle name="เครื่องหมายจุลภาค 6 2" xfId="123"/>
    <cellStyle name="ชื่อเรื่อง" xfId="124"/>
    <cellStyle name="เซลล์ตรวจสอบ" xfId="125"/>
    <cellStyle name="เซลล์ที่มีการเชื่อมโยง" xfId="126"/>
    <cellStyle name="ดี" xfId="127"/>
    <cellStyle name="ปกติ 2 10" xfId="128"/>
    <cellStyle name="ปกติ 2 2" xfId="129"/>
    <cellStyle name="ปกติ 2 2 2" xfId="130"/>
    <cellStyle name="ปกติ 2 3" xfId="131"/>
    <cellStyle name="ปกติ 2 4" xfId="132"/>
    <cellStyle name="ปกติ 2 5" xfId="133"/>
    <cellStyle name="ปกติ 2 6" xfId="134"/>
    <cellStyle name="ปกติ 2 7" xfId="135"/>
    <cellStyle name="ปกติ 2 8" xfId="136"/>
    <cellStyle name="ปกติ 2 9" xfId="137"/>
    <cellStyle name="ปกติ 3 2" xfId="138"/>
    <cellStyle name="ปกติ 4" xfId="139"/>
    <cellStyle name="ปกติ 4 2" xfId="140"/>
    <cellStyle name="ปกติ 5 2" xfId="141"/>
    <cellStyle name="ปกติ 6" xfId="142"/>
    <cellStyle name="ปกติ 6 2" xfId="143"/>
    <cellStyle name="ปกติ 8" xfId="144"/>
    <cellStyle name="ปกติ 9" xfId="145"/>
    <cellStyle name="ปกติ_BOQ-BANG-NGA 2" xfId="146"/>
    <cellStyle name="ปกติ_ค่า Fบางนา" xfId="147"/>
    <cellStyle name="ป้อนค่า" xfId="148"/>
    <cellStyle name="ปานกลาง" xfId="149"/>
    <cellStyle name="เปอร์เซ็นต์ 2" xfId="150"/>
    <cellStyle name="ผลรวม" xfId="151"/>
    <cellStyle name="แย่" xfId="152"/>
    <cellStyle name="ส่วนที่ถูกเน้น1" xfId="153"/>
    <cellStyle name="ส่วนที่ถูกเน้น2" xfId="154"/>
    <cellStyle name="ส่วนที่ถูกเน้น3" xfId="155"/>
    <cellStyle name="ส่วนที่ถูกเน้น4" xfId="156"/>
    <cellStyle name="ส่วนที่ถูกเน้น5" xfId="157"/>
    <cellStyle name="ส่วนที่ถูกเน้น6" xfId="158"/>
    <cellStyle name="แสดงผล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="110" zoomScaleSheetLayoutView="110" zoomScalePageLayoutView="0" workbookViewId="0" topLeftCell="A1">
      <selection activeCell="N70" sqref="N70"/>
    </sheetView>
  </sheetViews>
  <sheetFormatPr defaultColWidth="9.140625" defaultRowHeight="15"/>
  <cols>
    <col min="1" max="1" width="5.421875" style="1" customWidth="1"/>
    <col min="2" max="2" width="9.00390625" style="1" customWidth="1"/>
    <col min="3" max="3" width="14.8515625" style="1" customWidth="1"/>
    <col min="4" max="4" width="8.421875" style="1" customWidth="1"/>
    <col min="5" max="5" width="9.7109375" style="1" customWidth="1"/>
    <col min="6" max="6" width="6.8515625" style="1" customWidth="1"/>
    <col min="7" max="7" width="8.7109375" style="1" customWidth="1"/>
    <col min="8" max="8" width="4.7109375" style="1" customWidth="1"/>
    <col min="9" max="9" width="4.28125" style="1" customWidth="1"/>
    <col min="10" max="10" width="5.57421875" style="1" customWidth="1"/>
    <col min="11" max="11" width="4.8515625" style="1" customWidth="1"/>
    <col min="12" max="12" width="7.140625" style="1" customWidth="1"/>
    <col min="13" max="13" width="10.57421875" style="1" customWidth="1"/>
    <col min="14" max="14" width="13.28125" style="1" customWidth="1"/>
    <col min="15" max="15" width="9.00390625" style="1" customWidth="1"/>
    <col min="16" max="16" width="12.28125" style="1" bestFit="1" customWidth="1"/>
    <col min="17" max="16384" width="9.00390625" style="1" customWidth="1"/>
  </cols>
  <sheetData>
    <row r="1" spans="1:14" ht="24">
      <c r="A1" s="224" t="s">
        <v>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ht="2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0" ht="24">
      <c r="A3" s="1" t="str">
        <f>ค่าวัสดุและดำเนินการ!A3</f>
        <v>โครงการ      : ก่อสร้างถนน คสล. บ้านนายพนม  ลีนำโชค (ไซโลข้าวโพด) บ้านค้างฮ้อ  หมู่ที่ 3</v>
      </c>
      <c r="J3" s="1" t="str">
        <f>ค่าวัสดุและดำเนินการ!I3</f>
        <v>ตามแบบมาตรฐานถนน คสล. เลขที่ ท.1-01</v>
      </c>
    </row>
    <row r="4" ht="24">
      <c r="A4" s="1" t="str">
        <f>ค่าวัสดุและดำเนินการ!A4</f>
        <v>ปริมาณงาน   : ก่อสร้างถนนคสล. ขนาดกว้าง 5.00 เมตร  ยาว 110.00 เมตร  หนา 0.15 เมตร พร้อมไหล่ทาง 2 ข้าง  กว้างเฉลี่ย 0.30 เมตร </v>
      </c>
    </row>
    <row r="5" spans="1:7" ht="24">
      <c r="A5" s="1" t="str">
        <f>ค่าวัสดุและดำเนินการ!A5</f>
        <v>ที่ตั้งโครงการ : บ้านค้างฮ้อ  หมู่ที่ 3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27.00 - 27.99  บาท/ลิตร</v>
      </c>
    </row>
    <row r="6" spans="1:7" ht="2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7" ht="2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7" ht="24">
      <c r="A8" s="1" t="s">
        <v>266</v>
      </c>
      <c r="G8" s="1" t="s">
        <v>267</v>
      </c>
    </row>
    <row r="9" spans="1:14" ht="24">
      <c r="A9" s="236" t="s">
        <v>23</v>
      </c>
      <c r="B9" s="238" t="s">
        <v>0</v>
      </c>
      <c r="C9" s="238"/>
      <c r="D9" s="238"/>
      <c r="E9" s="239"/>
      <c r="F9" s="236" t="s">
        <v>1</v>
      </c>
      <c r="G9" s="242" t="s">
        <v>24</v>
      </c>
      <c r="H9" s="244" t="s">
        <v>68</v>
      </c>
      <c r="I9" s="245"/>
      <c r="J9" s="244" t="s">
        <v>25</v>
      </c>
      <c r="K9" s="245"/>
      <c r="L9" s="248" t="s">
        <v>26</v>
      </c>
      <c r="M9" s="19" t="s">
        <v>27</v>
      </c>
      <c r="N9" s="248" t="s">
        <v>75</v>
      </c>
    </row>
    <row r="10" spans="1:14" ht="24">
      <c r="A10" s="237"/>
      <c r="B10" s="240"/>
      <c r="C10" s="240"/>
      <c r="D10" s="240"/>
      <c r="E10" s="241"/>
      <c r="F10" s="237"/>
      <c r="G10" s="243"/>
      <c r="H10" s="246" t="s">
        <v>69</v>
      </c>
      <c r="I10" s="247"/>
      <c r="J10" s="246"/>
      <c r="K10" s="247"/>
      <c r="L10" s="249"/>
      <c r="M10" s="20" t="s">
        <v>28</v>
      </c>
      <c r="N10" s="249"/>
    </row>
    <row r="11" spans="1:14" ht="24">
      <c r="A11" s="114">
        <v>1</v>
      </c>
      <c r="B11" s="115" t="s">
        <v>233</v>
      </c>
      <c r="C11" s="22"/>
      <c r="D11" s="23"/>
      <c r="E11" s="24"/>
      <c r="F11" s="25"/>
      <c r="G11" s="26"/>
      <c r="H11" s="118"/>
      <c r="I11" s="119"/>
      <c r="J11" s="234"/>
      <c r="K11" s="235"/>
      <c r="L11" s="27"/>
      <c r="M11" s="27"/>
      <c r="N11" s="28"/>
    </row>
    <row r="12" spans="1:14" ht="24">
      <c r="A12" s="114"/>
      <c r="B12" s="30" t="s">
        <v>232</v>
      </c>
      <c r="C12" s="30"/>
      <c r="D12" s="29"/>
      <c r="E12" s="31"/>
      <c r="F12" s="21" t="s">
        <v>22</v>
      </c>
      <c r="G12" s="26">
        <v>0</v>
      </c>
      <c r="H12" s="226">
        <v>1.73</v>
      </c>
      <c r="I12" s="227"/>
      <c r="J12" s="226">
        <f>ROUND(H12*G12,2)</f>
        <v>0</v>
      </c>
      <c r="K12" s="227"/>
      <c r="L12" s="32">
        <f>$J$33</f>
        <v>1.3592</v>
      </c>
      <c r="M12" s="41">
        <f>ROUNDDOWN(H12*L12,2)</f>
        <v>2.35</v>
      </c>
      <c r="N12" s="27">
        <f>ROUND(J12*L12,2)</f>
        <v>0</v>
      </c>
    </row>
    <row r="13" spans="1:14" ht="24">
      <c r="A13" s="114">
        <v>2</v>
      </c>
      <c r="B13" s="116" t="s">
        <v>234</v>
      </c>
      <c r="C13" s="30"/>
      <c r="D13" s="29"/>
      <c r="E13" s="31"/>
      <c r="F13" s="21"/>
      <c r="G13" s="26"/>
      <c r="H13" s="210"/>
      <c r="I13" s="211"/>
      <c r="J13" s="210"/>
      <c r="K13" s="211"/>
      <c r="L13" s="32"/>
      <c r="M13" s="41"/>
      <c r="N13" s="27"/>
    </row>
    <row r="14" spans="1:14" ht="24">
      <c r="A14" s="114"/>
      <c r="B14" s="30" t="s">
        <v>235</v>
      </c>
      <c r="C14" s="30"/>
      <c r="D14" s="29"/>
      <c r="E14" s="31"/>
      <c r="F14" s="21" t="s">
        <v>22</v>
      </c>
      <c r="G14" s="26">
        <v>550</v>
      </c>
      <c r="H14" s="226">
        <v>10.94</v>
      </c>
      <c r="I14" s="227"/>
      <c r="J14" s="226">
        <f>ROUND(H14*G14,2)</f>
        <v>6017</v>
      </c>
      <c r="K14" s="227"/>
      <c r="L14" s="32">
        <f>$J$33</f>
        <v>1.3592</v>
      </c>
      <c r="M14" s="41">
        <f>ROUNDDOWN(H14*L14,2)</f>
        <v>14.86</v>
      </c>
      <c r="N14" s="27">
        <f>ROUND(J14*L14,2)</f>
        <v>8178.31</v>
      </c>
    </row>
    <row r="15" spans="1:14" ht="24">
      <c r="A15" s="114">
        <v>3</v>
      </c>
      <c r="B15" s="116" t="s">
        <v>158</v>
      </c>
      <c r="C15" s="30"/>
      <c r="D15" s="29"/>
      <c r="E15" s="31"/>
      <c r="F15" s="21"/>
      <c r="G15" s="26"/>
      <c r="H15" s="210"/>
      <c r="I15" s="211"/>
      <c r="J15" s="210"/>
      <c r="K15" s="211"/>
      <c r="L15" s="32"/>
      <c r="M15" s="41"/>
      <c r="N15" s="27"/>
    </row>
    <row r="16" spans="1:17" ht="24">
      <c r="A16" s="114"/>
      <c r="B16" s="30" t="s">
        <v>244</v>
      </c>
      <c r="C16" s="30"/>
      <c r="D16" s="29"/>
      <c r="E16" s="31"/>
      <c r="F16" s="21" t="s">
        <v>20</v>
      </c>
      <c r="G16" s="26">
        <v>0</v>
      </c>
      <c r="H16" s="226">
        <v>0</v>
      </c>
      <c r="I16" s="227"/>
      <c r="J16" s="226">
        <f>ROUND(H16*G16,2)</f>
        <v>0</v>
      </c>
      <c r="K16" s="227"/>
      <c r="L16" s="32">
        <f>$J$33</f>
        <v>1.3592</v>
      </c>
      <c r="M16" s="41">
        <f>ROUND(H16*L16,2)</f>
        <v>0</v>
      </c>
      <c r="N16" s="27">
        <f>ROUND(J16*L16,2)</f>
        <v>0</v>
      </c>
      <c r="Q16" s="160"/>
    </row>
    <row r="17" spans="1:14" ht="24">
      <c r="A17" s="114"/>
      <c r="B17" s="30" t="s">
        <v>245</v>
      </c>
      <c r="C17" s="30"/>
      <c r="D17" s="29"/>
      <c r="E17" s="31"/>
      <c r="F17" s="21" t="s">
        <v>20</v>
      </c>
      <c r="G17" s="26">
        <v>0</v>
      </c>
      <c r="H17" s="226">
        <f>ค่าวัสดุและดำเนินการ!K21</f>
        <v>120</v>
      </c>
      <c r="I17" s="227"/>
      <c r="J17" s="226">
        <f>ROUND(H17*G17,2)</f>
        <v>0</v>
      </c>
      <c r="K17" s="227"/>
      <c r="L17" s="32">
        <f>$J$33</f>
        <v>1.3592</v>
      </c>
      <c r="M17" s="41">
        <f>ROUND(H17*L17,2)</f>
        <v>163.1</v>
      </c>
      <c r="N17" s="27">
        <f>ROUND(J17*L17,2)</f>
        <v>0</v>
      </c>
    </row>
    <row r="18" spans="1:14" ht="24">
      <c r="A18" s="114">
        <v>4</v>
      </c>
      <c r="B18" s="116" t="s">
        <v>159</v>
      </c>
      <c r="C18" s="30"/>
      <c r="D18" s="29"/>
      <c r="E18" s="31"/>
      <c r="F18" s="25"/>
      <c r="G18" s="34"/>
      <c r="H18" s="41"/>
      <c r="I18" s="117"/>
      <c r="J18" s="226"/>
      <c r="K18" s="227"/>
      <c r="L18" s="32"/>
      <c r="M18" s="41"/>
      <c r="N18" s="27"/>
    </row>
    <row r="19" spans="1:14" ht="24">
      <c r="A19" s="114"/>
      <c r="B19" s="30" t="s">
        <v>246</v>
      </c>
      <c r="C19" s="30"/>
      <c r="D19" s="29"/>
      <c r="E19" s="31" t="s">
        <v>195</v>
      </c>
      <c r="F19" s="21" t="s">
        <v>20</v>
      </c>
      <c r="G19" s="26">
        <v>27</v>
      </c>
      <c r="H19" s="226">
        <f>ทรายหยาบรองใต้ผิวคอนกรีต!I8</f>
        <v>669</v>
      </c>
      <c r="I19" s="227"/>
      <c r="J19" s="226">
        <f>ROUND(H19*G19,2)</f>
        <v>18063</v>
      </c>
      <c r="K19" s="227"/>
      <c r="L19" s="32">
        <f>$J$33</f>
        <v>1.3592</v>
      </c>
      <c r="M19" s="41">
        <f>ROUND(H19*L19,2)</f>
        <v>909.3</v>
      </c>
      <c r="N19" s="27">
        <f>ROUND(J19*L19,2)</f>
        <v>24551.23</v>
      </c>
    </row>
    <row r="20" spans="1:14" ht="24">
      <c r="A20" s="114">
        <v>5</v>
      </c>
      <c r="B20" s="116" t="s">
        <v>160</v>
      </c>
      <c r="C20" s="30"/>
      <c r="D20" s="29"/>
      <c r="E20" s="31"/>
      <c r="F20" s="25"/>
      <c r="G20" s="34"/>
      <c r="H20" s="171"/>
      <c r="I20" s="172"/>
      <c r="J20" s="171"/>
      <c r="K20" s="172"/>
      <c r="L20" s="32"/>
      <c r="M20" s="41"/>
      <c r="N20" s="27"/>
    </row>
    <row r="21" spans="1:14" ht="24">
      <c r="A21" s="114"/>
      <c r="B21" s="30" t="s">
        <v>247</v>
      </c>
      <c r="C21" s="30"/>
      <c r="D21" s="29"/>
      <c r="E21" s="31"/>
      <c r="F21" s="21" t="s">
        <v>22</v>
      </c>
      <c r="G21" s="26">
        <v>550</v>
      </c>
      <c r="H21" s="226">
        <f>ผิวทางคอนกรีตผสมเสร็จ!P18</f>
        <v>413</v>
      </c>
      <c r="I21" s="227"/>
      <c r="J21" s="226">
        <f>ROUND(H21*G21,2)</f>
        <v>227150</v>
      </c>
      <c r="K21" s="227"/>
      <c r="L21" s="32">
        <f>$J$33</f>
        <v>1.3592</v>
      </c>
      <c r="M21" s="41">
        <f>ROUND(H21*L21,2)</f>
        <v>561.35</v>
      </c>
      <c r="N21" s="27">
        <f>ROUND(J21*L21,2)</f>
        <v>308742.28</v>
      </c>
    </row>
    <row r="22" spans="1:14" ht="24">
      <c r="A22" s="114"/>
      <c r="B22" s="30" t="s">
        <v>248</v>
      </c>
      <c r="C22" s="30"/>
      <c r="D22" s="29"/>
      <c r="E22" s="31"/>
      <c r="F22" s="21" t="s">
        <v>34</v>
      </c>
      <c r="G22" s="26">
        <v>10</v>
      </c>
      <c r="H22" s="226">
        <f>รอยต่อ!N11</f>
        <v>162</v>
      </c>
      <c r="I22" s="227"/>
      <c r="J22" s="226">
        <f>ROUND(H22*G22,2)</f>
        <v>1620</v>
      </c>
      <c r="K22" s="227"/>
      <c r="L22" s="32">
        <f>$J$33</f>
        <v>1.3592</v>
      </c>
      <c r="M22" s="41">
        <f>ROUND(H22*L22,2)</f>
        <v>220.19</v>
      </c>
      <c r="N22" s="27">
        <f>ROUND(J22*L22,2)</f>
        <v>2201.9</v>
      </c>
    </row>
    <row r="23" spans="1:14" ht="24">
      <c r="A23" s="114"/>
      <c r="B23" s="30" t="s">
        <v>249</v>
      </c>
      <c r="C23" s="30"/>
      <c r="D23" s="29"/>
      <c r="E23" s="31"/>
      <c r="F23" s="21" t="s">
        <v>34</v>
      </c>
      <c r="G23" s="26">
        <v>40</v>
      </c>
      <c r="H23" s="226">
        <f>รอยต่อ!N21</f>
        <v>59</v>
      </c>
      <c r="I23" s="227"/>
      <c r="J23" s="226">
        <f>ROUND(H23*G23,2)</f>
        <v>2360</v>
      </c>
      <c r="K23" s="227"/>
      <c r="L23" s="32">
        <f>$J$33</f>
        <v>1.3592</v>
      </c>
      <c r="M23" s="41">
        <f>ROUND(H23*L23,2)</f>
        <v>80.19</v>
      </c>
      <c r="N23" s="27">
        <f>ROUND(J23*L23,2)</f>
        <v>3207.71</v>
      </c>
    </row>
    <row r="24" spans="1:14" ht="24">
      <c r="A24" s="114"/>
      <c r="B24" s="30" t="s">
        <v>250</v>
      </c>
      <c r="C24" s="30"/>
      <c r="D24" s="29"/>
      <c r="E24" s="31"/>
      <c r="F24" s="21" t="s">
        <v>34</v>
      </c>
      <c r="G24" s="26">
        <v>110</v>
      </c>
      <c r="H24" s="226">
        <f>รอยต่อ!N30</f>
        <v>66</v>
      </c>
      <c r="I24" s="227"/>
      <c r="J24" s="226">
        <f>ROUND(H24*G24,2)</f>
        <v>7260</v>
      </c>
      <c r="K24" s="227"/>
      <c r="L24" s="32">
        <f>$J$33</f>
        <v>1.3592</v>
      </c>
      <c r="M24" s="41">
        <f>ROUND(H24*L24,2)</f>
        <v>89.71</v>
      </c>
      <c r="N24" s="27">
        <f>ROUND(J24*L24,2)</f>
        <v>9867.79</v>
      </c>
    </row>
    <row r="25" spans="1:14" ht="24">
      <c r="A25" s="114">
        <v>6</v>
      </c>
      <c r="B25" s="116" t="s">
        <v>161</v>
      </c>
      <c r="C25" s="30"/>
      <c r="D25" s="29"/>
      <c r="E25" s="31"/>
      <c r="F25" s="25"/>
      <c r="G25" s="34"/>
      <c r="H25" s="205"/>
      <c r="I25" s="206"/>
      <c r="J25" s="205"/>
      <c r="K25" s="206"/>
      <c r="L25" s="32"/>
      <c r="M25" s="41"/>
      <c r="N25" s="27"/>
    </row>
    <row r="26" spans="1:14" ht="24">
      <c r="A26" s="114"/>
      <c r="B26" s="30" t="s">
        <v>251</v>
      </c>
      <c r="C26" s="30"/>
      <c r="D26" s="29"/>
      <c r="E26" s="31"/>
      <c r="F26" s="21" t="s">
        <v>20</v>
      </c>
      <c r="G26" s="26">
        <v>10</v>
      </c>
      <c r="H26" s="226">
        <f>ค่าวัสดุและดำเนินการ!F21</f>
        <v>120</v>
      </c>
      <c r="I26" s="227"/>
      <c r="J26" s="226">
        <f>ROUND(H26*G26,2)</f>
        <v>1200</v>
      </c>
      <c r="K26" s="227"/>
      <c r="L26" s="32">
        <f>$J$33</f>
        <v>1.3592</v>
      </c>
      <c r="M26" s="41">
        <f>ROUND(H26*L26,2)</f>
        <v>163.1</v>
      </c>
      <c r="N26" s="27">
        <f>ROUND(J26*L26,2)</f>
        <v>1631.04</v>
      </c>
    </row>
    <row r="27" spans="1:14" ht="24">
      <c r="A27" s="212">
        <v>7</v>
      </c>
      <c r="B27" s="120" t="s">
        <v>74</v>
      </c>
      <c r="C27" s="120"/>
      <c r="D27" s="121"/>
      <c r="E27" s="122"/>
      <c r="F27" s="123"/>
      <c r="G27" s="124"/>
      <c r="H27" s="125"/>
      <c r="I27" s="126"/>
      <c r="J27" s="125"/>
      <c r="K27" s="126"/>
      <c r="L27" s="40"/>
      <c r="M27" s="35"/>
      <c r="N27" s="27"/>
    </row>
    <row r="28" spans="1:14" ht="24">
      <c r="A28" s="15"/>
      <c r="B28" s="15"/>
      <c r="C28" s="36"/>
      <c r="D28" s="37"/>
      <c r="E28" s="37"/>
      <c r="F28" s="15"/>
      <c r="G28" s="173"/>
      <c r="H28" s="173"/>
      <c r="I28" s="15"/>
      <c r="J28" s="15"/>
      <c r="K28" s="38"/>
      <c r="L28" s="14"/>
      <c r="M28" s="36" t="s">
        <v>162</v>
      </c>
      <c r="N28" s="128">
        <f>ROUND((SUM(N11:N27)),2)</f>
        <v>358380.26</v>
      </c>
    </row>
    <row r="29" spans="1:14" ht="24.75" thickBot="1">
      <c r="A29" s="15"/>
      <c r="B29" s="15"/>
      <c r="C29" s="36"/>
      <c r="D29" s="37"/>
      <c r="E29" s="37"/>
      <c r="F29" s="15"/>
      <c r="G29" s="173"/>
      <c r="H29" s="173"/>
      <c r="I29" s="15"/>
      <c r="J29" s="15"/>
      <c r="K29" s="38"/>
      <c r="L29" s="14"/>
      <c r="M29" s="36" t="s">
        <v>228</v>
      </c>
      <c r="N29" s="127">
        <f>ROUNDDOWN(N28,2)</f>
        <v>358380.26</v>
      </c>
    </row>
    <row r="30" spans="1:16" ht="25.5" thickBot="1" thickTop="1">
      <c r="A30" s="14"/>
      <c r="B30" s="16" t="s">
        <v>29</v>
      </c>
      <c r="C30" s="17"/>
      <c r="D30" s="16"/>
      <c r="E30" s="16"/>
      <c r="H30" s="168"/>
      <c r="I30" s="14"/>
      <c r="J30" s="231">
        <f>SUM(J11:K27)</f>
        <v>263670</v>
      </c>
      <c r="K30" s="232"/>
      <c r="L30" s="233"/>
      <c r="M30" s="33"/>
      <c r="N30" s="39"/>
      <c r="P30" s="165">
        <f>J30*J33</f>
        <v>358380.26399999997</v>
      </c>
    </row>
    <row r="31" spans="1:14" ht="24.75" thickBot="1">
      <c r="A31" s="14"/>
      <c r="B31" s="16" t="s">
        <v>30</v>
      </c>
      <c r="C31" s="17"/>
      <c r="D31" s="16"/>
      <c r="E31" s="16"/>
      <c r="H31" s="168"/>
      <c r="I31" s="14"/>
      <c r="J31" s="231" t="s">
        <v>18</v>
      </c>
      <c r="K31" s="232"/>
      <c r="L31" s="233"/>
      <c r="M31" s="33"/>
      <c r="N31" s="39"/>
    </row>
    <row r="32" spans="1:14" ht="24.75" thickBot="1">
      <c r="A32" s="14"/>
      <c r="B32" s="16"/>
      <c r="C32" s="17"/>
      <c r="D32" s="16"/>
      <c r="E32" s="16"/>
      <c r="H32" s="168"/>
      <c r="I32" s="14"/>
      <c r="J32" s="170"/>
      <c r="K32" s="170"/>
      <c r="L32" s="170"/>
      <c r="M32" s="33"/>
      <c r="N32" s="39"/>
    </row>
    <row r="33" spans="1:14" ht="24.75" thickBot="1">
      <c r="A33" s="14"/>
      <c r="B33" s="16" t="s">
        <v>31</v>
      </c>
      <c r="C33" s="17"/>
      <c r="D33" s="16"/>
      <c r="E33" s="16"/>
      <c r="H33" s="168"/>
      <c r="I33" s="14"/>
      <c r="J33" s="228">
        <v>1.3592</v>
      </c>
      <c r="K33" s="229"/>
      <c r="L33" s="230"/>
      <c r="M33" s="33"/>
      <c r="N33" s="39"/>
    </row>
    <row r="34" spans="1:14" ht="24.75" thickBot="1">
      <c r="A34" s="14"/>
      <c r="B34" s="16" t="s">
        <v>32</v>
      </c>
      <c r="C34" s="17"/>
      <c r="D34" s="16"/>
      <c r="E34" s="16"/>
      <c r="H34" s="168"/>
      <c r="I34" s="14"/>
      <c r="J34" s="228" t="s">
        <v>18</v>
      </c>
      <c r="K34" s="229"/>
      <c r="L34" s="230"/>
      <c r="M34" s="33"/>
      <c r="N34" s="39"/>
    </row>
    <row r="35" spans="1:14" ht="24">
      <c r="A35" s="14"/>
      <c r="B35" s="16"/>
      <c r="C35" s="17"/>
      <c r="D35" s="16"/>
      <c r="E35" s="16"/>
      <c r="H35" s="207"/>
      <c r="I35" s="14"/>
      <c r="J35" s="43"/>
      <c r="K35" s="43"/>
      <c r="L35" s="43"/>
      <c r="M35" s="33"/>
      <c r="N35" s="39"/>
    </row>
    <row r="36" spans="1:14" ht="24" hidden="1">
      <c r="A36" s="14"/>
      <c r="B36" s="16"/>
      <c r="C36" s="17"/>
      <c r="D36" s="16"/>
      <c r="E36" s="16"/>
      <c r="H36" s="207"/>
      <c r="I36" s="14"/>
      <c r="J36" s="43"/>
      <c r="K36" s="43"/>
      <c r="L36" s="43"/>
      <c r="M36" s="33"/>
      <c r="N36" s="39"/>
    </row>
    <row r="37" spans="1:14" ht="24" hidden="1">
      <c r="A37" s="14"/>
      <c r="B37" s="16"/>
      <c r="C37" s="17"/>
      <c r="D37" s="16"/>
      <c r="E37" s="16"/>
      <c r="H37" s="207"/>
      <c r="I37" s="14"/>
      <c r="J37" s="43"/>
      <c r="K37" s="43"/>
      <c r="L37" s="43"/>
      <c r="M37" s="33"/>
      <c r="N37" s="39"/>
    </row>
    <row r="38" spans="1:14" ht="24" hidden="1">
      <c r="A38" s="14"/>
      <c r="B38" s="16"/>
      <c r="C38" s="17"/>
      <c r="D38" s="16"/>
      <c r="E38" s="16"/>
      <c r="H38" s="207"/>
      <c r="I38" s="14"/>
      <c r="J38" s="43"/>
      <c r="K38" s="43"/>
      <c r="L38" s="43"/>
      <c r="M38" s="33"/>
      <c r="N38" s="39"/>
    </row>
    <row r="39" spans="1:14" ht="24" hidden="1">
      <c r="A39" s="18"/>
      <c r="B39" s="224" t="s">
        <v>216</v>
      </c>
      <c r="C39" s="224"/>
      <c r="D39" s="224"/>
      <c r="E39" s="224"/>
      <c r="F39" s="224"/>
      <c r="G39" s="3"/>
      <c r="H39" s="207"/>
      <c r="I39" s="207"/>
      <c r="J39" s="223" t="s">
        <v>217</v>
      </c>
      <c r="K39" s="223"/>
      <c r="L39" s="223"/>
      <c r="M39" s="223"/>
      <c r="N39" s="223"/>
    </row>
    <row r="40" spans="2:13" ht="24" hidden="1">
      <c r="B40" s="222" t="s">
        <v>218</v>
      </c>
      <c r="C40" s="222"/>
      <c r="D40" s="222"/>
      <c r="E40" s="222"/>
      <c r="J40" s="222" t="s">
        <v>219</v>
      </c>
      <c r="K40" s="222"/>
      <c r="L40" s="222"/>
      <c r="M40" s="222"/>
    </row>
    <row r="41" spans="2:13" ht="24" hidden="1">
      <c r="B41" s="222" t="s">
        <v>220</v>
      </c>
      <c r="C41" s="222"/>
      <c r="D41" s="222"/>
      <c r="E41" s="222"/>
      <c r="J41" s="222" t="s">
        <v>221</v>
      </c>
      <c r="K41" s="222"/>
      <c r="L41" s="222"/>
      <c r="M41" s="222"/>
    </row>
    <row r="42" ht="24" hidden="1"/>
    <row r="43" spans="2:14" ht="24" hidden="1">
      <c r="B43" s="224" t="s">
        <v>222</v>
      </c>
      <c r="C43" s="224"/>
      <c r="D43" s="224"/>
      <c r="E43" s="224"/>
      <c r="J43" s="223" t="s">
        <v>223</v>
      </c>
      <c r="K43" s="223"/>
      <c r="L43" s="223"/>
      <c r="M43" s="223"/>
      <c r="N43" s="223"/>
    </row>
    <row r="44" spans="2:13" ht="24" hidden="1">
      <c r="B44" s="222" t="s">
        <v>226</v>
      </c>
      <c r="C44" s="222"/>
      <c r="D44" s="222"/>
      <c r="E44" s="222"/>
      <c r="J44" s="222" t="s">
        <v>224</v>
      </c>
      <c r="K44" s="222"/>
      <c r="L44" s="222"/>
      <c r="M44" s="222"/>
    </row>
    <row r="45" spans="1:13" ht="24" hidden="1">
      <c r="A45" s="18"/>
      <c r="B45" s="222" t="s">
        <v>61</v>
      </c>
      <c r="C45" s="222"/>
      <c r="D45" s="222"/>
      <c r="E45" s="222"/>
      <c r="F45" s="18"/>
      <c r="J45" s="222" t="s">
        <v>225</v>
      </c>
      <c r="K45" s="222"/>
      <c r="L45" s="222"/>
      <c r="M45" s="222"/>
    </row>
    <row r="46" spans="1:14" ht="24" hidden="1">
      <c r="A46" s="14"/>
      <c r="B46" s="16"/>
      <c r="C46" s="17"/>
      <c r="D46" s="16"/>
      <c r="E46" s="16"/>
      <c r="H46" s="207"/>
      <c r="I46" s="14"/>
      <c r="J46" s="43"/>
      <c r="K46" s="43"/>
      <c r="L46" s="43"/>
      <c r="M46" s="33"/>
      <c r="N46" s="39"/>
    </row>
    <row r="47" spans="1:14" ht="24" hidden="1">
      <c r="A47" s="14"/>
      <c r="B47" s="16"/>
      <c r="C47" s="17"/>
      <c r="D47" s="16"/>
      <c r="E47" s="16"/>
      <c r="H47" s="207"/>
      <c r="I47" s="14"/>
      <c r="J47" s="43"/>
      <c r="K47" s="43"/>
      <c r="L47" s="43"/>
      <c r="M47" s="33"/>
      <c r="N47" s="39"/>
    </row>
    <row r="48" spans="1:14" ht="24" hidden="1">
      <c r="A48" s="14"/>
      <c r="B48" s="16"/>
      <c r="C48" s="17"/>
      <c r="D48" s="16"/>
      <c r="E48" s="16"/>
      <c r="H48" s="207"/>
      <c r="I48" s="14"/>
      <c r="J48" s="43"/>
      <c r="K48" s="43"/>
      <c r="L48" s="43"/>
      <c r="M48" s="33"/>
      <c r="N48" s="39"/>
    </row>
    <row r="49" spans="1:14" ht="24" hidden="1">
      <c r="A49" s="14"/>
      <c r="B49" s="16"/>
      <c r="C49" s="17"/>
      <c r="D49" s="16"/>
      <c r="E49" s="16"/>
      <c r="H49" s="207"/>
      <c r="I49" s="14"/>
      <c r="J49" s="43"/>
      <c r="K49" s="43"/>
      <c r="L49" s="43"/>
      <c r="M49" s="33"/>
      <c r="N49" s="39"/>
    </row>
    <row r="50" spans="1:14" ht="24" hidden="1">
      <c r="A50" s="14"/>
      <c r="B50" s="16"/>
      <c r="C50" s="17"/>
      <c r="D50" s="16"/>
      <c r="E50" s="16"/>
      <c r="H50" s="207"/>
      <c r="I50" s="14"/>
      <c r="J50" s="43"/>
      <c r="K50" s="43"/>
      <c r="L50" s="43"/>
      <c r="M50" s="33"/>
      <c r="N50" s="39"/>
    </row>
    <row r="51" spans="1:14" ht="24" hidden="1">
      <c r="A51" s="14"/>
      <c r="B51" s="16"/>
      <c r="C51" s="17"/>
      <c r="D51" s="16"/>
      <c r="E51" s="16"/>
      <c r="H51" s="207"/>
      <c r="I51" s="14"/>
      <c r="J51" s="43"/>
      <c r="K51" s="43"/>
      <c r="L51" s="43"/>
      <c r="M51" s="33"/>
      <c r="N51" s="39"/>
    </row>
    <row r="52" spans="1:14" ht="24" hidden="1">
      <c r="A52" s="14"/>
      <c r="B52" s="16"/>
      <c r="C52" s="17"/>
      <c r="D52" s="16"/>
      <c r="E52" s="16"/>
      <c r="H52" s="207"/>
      <c r="I52" s="14"/>
      <c r="J52" s="43"/>
      <c r="K52" s="43"/>
      <c r="L52" s="43"/>
      <c r="M52" s="33"/>
      <c r="N52" s="39"/>
    </row>
    <row r="53" spans="1:14" ht="24" hidden="1">
      <c r="A53" s="14"/>
      <c r="B53" s="16"/>
      <c r="C53" s="17"/>
      <c r="D53" s="16"/>
      <c r="E53" s="16"/>
      <c r="H53" s="207"/>
      <c r="I53" s="14"/>
      <c r="J53" s="43"/>
      <c r="K53" s="43"/>
      <c r="L53" s="43"/>
      <c r="M53" s="33"/>
      <c r="N53" s="39"/>
    </row>
    <row r="54" spans="1:14" ht="24">
      <c r="A54" s="14"/>
      <c r="B54" s="16"/>
      <c r="C54" s="17"/>
      <c r="D54" s="16"/>
      <c r="E54" s="16"/>
      <c r="H54" s="207"/>
      <c r="I54" s="14"/>
      <c r="J54" s="43"/>
      <c r="K54" s="43"/>
      <c r="L54" s="43"/>
      <c r="M54" s="33"/>
      <c r="N54" s="39"/>
    </row>
    <row r="55" spans="1:14" ht="24">
      <c r="A55" s="14"/>
      <c r="B55" s="16"/>
      <c r="C55" s="17"/>
      <c r="D55" s="16"/>
      <c r="E55" s="16"/>
      <c r="H55" s="168"/>
      <c r="I55" s="14"/>
      <c r="J55" s="43"/>
      <c r="K55" s="43"/>
      <c r="L55" s="43"/>
      <c r="M55" s="33"/>
      <c r="N55" s="39"/>
    </row>
    <row r="56" spans="5:11" ht="24">
      <c r="E56" s="3" t="s">
        <v>70</v>
      </c>
      <c r="F56" s="3"/>
      <c r="G56" s="3"/>
      <c r="H56" s="3"/>
      <c r="I56" s="3"/>
      <c r="J56" s="3"/>
      <c r="K56" s="3"/>
    </row>
    <row r="57" spans="5:9" ht="24">
      <c r="E57" s="225" t="str">
        <f>B72</f>
        <v>( นายผจญ  ทิปกะ )</v>
      </c>
      <c r="F57" s="225"/>
      <c r="G57" s="225"/>
      <c r="H57" s="225"/>
      <c r="I57" s="225"/>
    </row>
    <row r="58" spans="5:9" ht="24">
      <c r="E58" s="225" t="str">
        <f>D72</f>
        <v>ปลัด อบต.ป่ากลาง</v>
      </c>
      <c r="F58" s="225"/>
      <c r="G58" s="225"/>
      <c r="H58" s="225"/>
      <c r="I58" s="225"/>
    </row>
    <row r="60" spans="2:13" ht="24">
      <c r="B60" s="3" t="s">
        <v>192</v>
      </c>
      <c r="C60" s="3"/>
      <c r="D60" s="3"/>
      <c r="E60" s="3"/>
      <c r="F60" s="3"/>
      <c r="G60" s="3"/>
      <c r="H60" s="3" t="s">
        <v>194</v>
      </c>
      <c r="J60" s="3"/>
      <c r="K60" s="3"/>
      <c r="L60" s="3"/>
      <c r="M60" s="3"/>
    </row>
    <row r="61" spans="2:12" ht="24">
      <c r="B61" s="225" t="str">
        <f>B83</f>
        <v>( นายนัฏฐิชัย  ใจมั่น )</v>
      </c>
      <c r="C61" s="224"/>
      <c r="D61" s="224"/>
      <c r="I61" s="225" t="str">
        <f>B86</f>
        <v>( นายสุรเดช   พรมมีเดช )</v>
      </c>
      <c r="J61" s="225"/>
      <c r="K61" s="225"/>
      <c r="L61" s="225"/>
    </row>
    <row r="62" spans="2:12" ht="24">
      <c r="B62" s="225" t="str">
        <f>D86</f>
        <v>นายช่างโยธา</v>
      </c>
      <c r="C62" s="224"/>
      <c r="D62" s="224"/>
      <c r="I62" s="225" t="str">
        <f>D86</f>
        <v>นายช่างโยธา</v>
      </c>
      <c r="J62" s="225"/>
      <c r="K62" s="225"/>
      <c r="L62" s="225"/>
    </row>
    <row r="63" spans="2:12" ht="24">
      <c r="B63" s="166"/>
      <c r="C63" s="167"/>
      <c r="D63" s="167"/>
      <c r="I63" s="166"/>
      <c r="J63" s="166"/>
      <c r="K63" s="166"/>
      <c r="L63" s="166"/>
    </row>
    <row r="64" spans="2:13" ht="24">
      <c r="B64" s="3" t="s">
        <v>192</v>
      </c>
      <c r="C64" s="3"/>
      <c r="D64" s="3"/>
      <c r="E64" s="3"/>
      <c r="F64" s="3"/>
      <c r="G64" s="3"/>
      <c r="H64" s="3" t="s">
        <v>194</v>
      </c>
      <c r="J64" s="3"/>
      <c r="K64" s="3"/>
      <c r="L64" s="3"/>
      <c r="M64" s="3"/>
    </row>
    <row r="65" spans="2:12" ht="24">
      <c r="B65" s="225" t="str">
        <f>B69</f>
        <v>( นายชัยเดช  อภิวัฒน์สกุล )</v>
      </c>
      <c r="C65" s="224"/>
      <c r="D65" s="224"/>
      <c r="I65" s="225" t="str">
        <f>B70</f>
        <v>( นายสุรพงษ์   ศิลป์ท้าว)</v>
      </c>
      <c r="J65" s="225"/>
      <c r="K65" s="225"/>
      <c r="L65" s="225"/>
    </row>
    <row r="66" spans="2:12" ht="24">
      <c r="B66" s="225" t="str">
        <f>D69</f>
        <v>รองนายก อบต.ป่ากลาง</v>
      </c>
      <c r="C66" s="224"/>
      <c r="D66" s="224"/>
      <c r="I66" s="225" t="str">
        <f>D70</f>
        <v>รองนายก อบต.ป่ากลาง</v>
      </c>
      <c r="J66" s="225"/>
      <c r="K66" s="225"/>
      <c r="L66" s="225"/>
    </row>
    <row r="67" spans="2:12" ht="24">
      <c r="B67" s="166"/>
      <c r="C67" s="167"/>
      <c r="D67" s="167"/>
      <c r="I67" s="166"/>
      <c r="J67" s="166"/>
      <c r="K67" s="166"/>
      <c r="L67" s="166"/>
    </row>
    <row r="68" spans="2:12" ht="24">
      <c r="B68" s="166"/>
      <c r="C68" s="167"/>
      <c r="D68" s="167"/>
      <c r="I68" s="166"/>
      <c r="J68" s="166"/>
      <c r="K68" s="166"/>
      <c r="L68" s="166"/>
    </row>
    <row r="69" spans="2:4" ht="24">
      <c r="B69" s="42" t="s">
        <v>35</v>
      </c>
      <c r="D69" s="42" t="s">
        <v>36</v>
      </c>
    </row>
    <row r="70" spans="2:4" ht="24">
      <c r="B70" s="42" t="s">
        <v>193</v>
      </c>
      <c r="D70" s="42" t="s">
        <v>36</v>
      </c>
    </row>
    <row r="71" spans="2:4" ht="24">
      <c r="B71" s="42" t="s">
        <v>37</v>
      </c>
      <c r="D71" s="42" t="s">
        <v>38</v>
      </c>
    </row>
    <row r="72" spans="2:4" ht="24">
      <c r="B72" s="169" t="s">
        <v>39</v>
      </c>
      <c r="D72" s="1" t="s">
        <v>40</v>
      </c>
    </row>
    <row r="73" spans="2:4" ht="24">
      <c r="B73" s="1" t="s">
        <v>41</v>
      </c>
      <c r="D73" s="1" t="s">
        <v>42</v>
      </c>
    </row>
    <row r="74" spans="2:4" ht="24">
      <c r="B74" s="1" t="s">
        <v>43</v>
      </c>
      <c r="D74" s="1" t="s">
        <v>44</v>
      </c>
    </row>
    <row r="75" spans="2:4" ht="24">
      <c r="B75" s="1" t="s">
        <v>45</v>
      </c>
      <c r="D75" s="1" t="s">
        <v>46</v>
      </c>
    </row>
    <row r="76" spans="2:4" ht="24">
      <c r="B76" s="1" t="s">
        <v>47</v>
      </c>
      <c r="D76" s="1" t="s">
        <v>48</v>
      </c>
    </row>
    <row r="77" spans="2:4" ht="24">
      <c r="B77" s="1" t="s">
        <v>49</v>
      </c>
      <c r="D77" s="1" t="s">
        <v>50</v>
      </c>
    </row>
    <row r="78" spans="2:4" ht="24">
      <c r="B78" s="1" t="s">
        <v>51</v>
      </c>
      <c r="D78" s="1" t="s">
        <v>52</v>
      </c>
    </row>
    <row r="79" spans="2:4" ht="24">
      <c r="B79" s="1" t="s">
        <v>53</v>
      </c>
      <c r="D79" s="1" t="s">
        <v>54</v>
      </c>
    </row>
    <row r="80" spans="2:4" ht="24">
      <c r="B80" s="1" t="s">
        <v>55</v>
      </c>
      <c r="D80" s="1" t="s">
        <v>56</v>
      </c>
    </row>
    <row r="81" spans="2:4" ht="24">
      <c r="B81" s="1" t="s">
        <v>57</v>
      </c>
      <c r="D81" s="1" t="s">
        <v>58</v>
      </c>
    </row>
    <row r="82" spans="2:4" ht="24">
      <c r="B82" s="1" t="s">
        <v>59</v>
      </c>
      <c r="D82" s="1" t="s">
        <v>60</v>
      </c>
    </row>
    <row r="83" spans="2:4" ht="24">
      <c r="B83" s="1" t="s">
        <v>243</v>
      </c>
      <c r="D83" s="1" t="s">
        <v>61</v>
      </c>
    </row>
    <row r="84" spans="2:4" ht="24">
      <c r="B84" s="1" t="s">
        <v>62</v>
      </c>
      <c r="D84" s="1" t="s">
        <v>63</v>
      </c>
    </row>
    <row r="85" spans="2:4" ht="24">
      <c r="B85" s="1" t="s">
        <v>64</v>
      </c>
      <c r="D85" s="1" t="s">
        <v>65</v>
      </c>
    </row>
    <row r="86" spans="2:4" ht="24">
      <c r="B86" s="1" t="s">
        <v>66</v>
      </c>
      <c r="D86" s="42" t="s">
        <v>67</v>
      </c>
    </row>
  </sheetData>
  <sheetProtection/>
  <mergeCells count="58">
    <mergeCell ref="B44:E44"/>
    <mergeCell ref="J44:M44"/>
    <mergeCell ref="H21:I21"/>
    <mergeCell ref="J21:K21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H17:I17"/>
    <mergeCell ref="J17:K17"/>
    <mergeCell ref="J18:K18"/>
    <mergeCell ref="H19:I19"/>
    <mergeCell ref="J19:K19"/>
    <mergeCell ref="J11:K11"/>
    <mergeCell ref="H12:I12"/>
    <mergeCell ref="J12:K12"/>
    <mergeCell ref="H16:I16"/>
    <mergeCell ref="J16:K16"/>
    <mergeCell ref="H14:I14"/>
    <mergeCell ref="J14:K14"/>
    <mergeCell ref="B45:E45"/>
    <mergeCell ref="J45:M45"/>
    <mergeCell ref="B43:E43"/>
    <mergeCell ref="J43:N43"/>
    <mergeCell ref="H22:I22"/>
    <mergeCell ref="J22:K22"/>
    <mergeCell ref="H23:I23"/>
    <mergeCell ref="J23:K23"/>
    <mergeCell ref="H24:I24"/>
    <mergeCell ref="J24:K24"/>
    <mergeCell ref="H26:I26"/>
    <mergeCell ref="J26:K26"/>
    <mergeCell ref="J33:L33"/>
    <mergeCell ref="J34:L34"/>
    <mergeCell ref="J30:L30"/>
    <mergeCell ref="J31:L31"/>
    <mergeCell ref="B66:D66"/>
    <mergeCell ref="I66:L66"/>
    <mergeCell ref="E57:I57"/>
    <mergeCell ref="E58:I58"/>
    <mergeCell ref="B61:D61"/>
    <mergeCell ref="I61:L61"/>
    <mergeCell ref="B62:D62"/>
    <mergeCell ref="I62:L62"/>
    <mergeCell ref="B65:D65"/>
    <mergeCell ref="I65:L65"/>
    <mergeCell ref="J40:M40"/>
    <mergeCell ref="B40:E40"/>
    <mergeCell ref="J39:N39"/>
    <mergeCell ref="B39:F39"/>
    <mergeCell ref="B41:E41"/>
    <mergeCell ref="J41:M41"/>
  </mergeCells>
  <printOptions horizontalCentered="1"/>
  <pageMargins left="0.5905511811023623" right="0" top="0.3937007874015748" bottom="0" header="0.31496062992125984" footer="0.31496062992125984"/>
  <pageSetup horizontalDpi="600" verticalDpi="600" orientation="portrait" paperSize="9" scale="7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30" zoomScaleSheetLayoutView="130" zoomScalePageLayoutView="0" workbookViewId="0" topLeftCell="A1">
      <selection activeCell="E36" sqref="E36"/>
    </sheetView>
  </sheetViews>
  <sheetFormatPr defaultColWidth="9.140625" defaultRowHeight="15"/>
  <cols>
    <col min="1" max="1" width="5.140625" style="1" customWidth="1"/>
    <col min="2" max="3" width="10.57421875" style="1" customWidth="1"/>
    <col min="4" max="4" width="13.00390625" style="1" customWidth="1"/>
    <col min="5" max="5" width="7.28125" style="1" customWidth="1"/>
    <col min="6" max="6" width="10.57421875" style="1" customWidth="1"/>
    <col min="7" max="7" width="7.28125" style="1" customWidth="1"/>
    <col min="8" max="8" width="7.7109375" style="1" customWidth="1"/>
    <col min="9" max="9" width="8.421875" style="1" customWidth="1"/>
    <col min="10" max="10" width="9.28125" style="1" customWidth="1"/>
    <col min="11" max="11" width="10.57421875" style="1" customWidth="1"/>
    <col min="12" max="12" width="15.140625" style="1" customWidth="1"/>
    <col min="13" max="16384" width="9.00390625" style="1" customWidth="1"/>
  </cols>
  <sheetData>
    <row r="1" spans="1:12" ht="24">
      <c r="A1" s="224" t="s">
        <v>14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4">
      <c r="A2" s="44" t="s">
        <v>197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9" ht="24">
      <c r="A3" s="1" t="s">
        <v>230</v>
      </c>
      <c r="I3" s="1" t="s">
        <v>231</v>
      </c>
    </row>
    <row r="4" ht="24">
      <c r="A4" s="1" t="s">
        <v>229</v>
      </c>
    </row>
    <row r="5" spans="1:10" ht="21" customHeight="1">
      <c r="A5" s="1" t="s">
        <v>242</v>
      </c>
      <c r="G5" s="3" t="s">
        <v>265</v>
      </c>
      <c r="J5" s="13"/>
    </row>
    <row r="6" spans="1:7" ht="24">
      <c r="A6" s="1" t="s">
        <v>16</v>
      </c>
      <c r="G6" s="1" t="s">
        <v>227</v>
      </c>
    </row>
    <row r="7" spans="1:7" ht="24">
      <c r="A7" s="1" t="s">
        <v>15</v>
      </c>
      <c r="G7" s="1" t="s">
        <v>72</v>
      </c>
    </row>
    <row r="8" spans="1:12" ht="24">
      <c r="A8" s="164" t="s">
        <v>23</v>
      </c>
      <c r="B8" s="250" t="s">
        <v>0</v>
      </c>
      <c r="C8" s="251"/>
      <c r="D8" s="252"/>
      <c r="E8" s="4" t="s">
        <v>1</v>
      </c>
      <c r="F8" s="4" t="s">
        <v>5</v>
      </c>
      <c r="G8" s="4" t="s">
        <v>3</v>
      </c>
      <c r="H8" s="4" t="s">
        <v>5</v>
      </c>
      <c r="I8" s="4" t="s">
        <v>9</v>
      </c>
      <c r="J8" s="4" t="s">
        <v>10</v>
      </c>
      <c r="K8" s="4" t="s">
        <v>12</v>
      </c>
      <c r="L8" s="4" t="s">
        <v>13</v>
      </c>
    </row>
    <row r="9" spans="1:12" ht="24">
      <c r="A9" s="162" t="s">
        <v>71</v>
      </c>
      <c r="B9" s="6"/>
      <c r="C9" s="7"/>
      <c r="D9" s="8"/>
      <c r="E9" s="5"/>
      <c r="F9" s="5" t="s">
        <v>6</v>
      </c>
      <c r="G9" s="5" t="s">
        <v>4</v>
      </c>
      <c r="H9" s="5" t="s">
        <v>4</v>
      </c>
      <c r="I9" s="5" t="s">
        <v>8</v>
      </c>
      <c r="J9" s="5" t="s">
        <v>11</v>
      </c>
      <c r="K9" s="5"/>
      <c r="L9" s="5"/>
    </row>
    <row r="10" spans="1:12" ht="24">
      <c r="A10" s="163"/>
      <c r="B10" s="10"/>
      <c r="C10" s="11"/>
      <c r="D10" s="12"/>
      <c r="E10" s="9"/>
      <c r="F10" s="9" t="s">
        <v>2</v>
      </c>
      <c r="G10" s="9" t="s">
        <v>7</v>
      </c>
      <c r="H10" s="9" t="s">
        <v>2</v>
      </c>
      <c r="I10" s="9" t="s">
        <v>2</v>
      </c>
      <c r="J10" s="9" t="s">
        <v>2</v>
      </c>
      <c r="K10" s="9" t="s">
        <v>2</v>
      </c>
      <c r="L10" s="9"/>
    </row>
    <row r="11" spans="1:12" ht="24">
      <c r="A11" s="178">
        <v>1</v>
      </c>
      <c r="B11" s="179" t="s">
        <v>140</v>
      </c>
      <c r="C11" s="180"/>
      <c r="D11" s="181"/>
      <c r="E11" s="178" t="s">
        <v>17</v>
      </c>
      <c r="F11" s="182">
        <v>2200</v>
      </c>
      <c r="G11" s="183">
        <v>0</v>
      </c>
      <c r="H11" s="183">
        <v>0</v>
      </c>
      <c r="I11" s="183">
        <v>0</v>
      </c>
      <c r="J11" s="183">
        <v>0</v>
      </c>
      <c r="K11" s="184">
        <f>ROUND($F$11+$H$11+$I$11+$J$11,2)</f>
        <v>2200</v>
      </c>
      <c r="L11" s="213" t="s">
        <v>236</v>
      </c>
    </row>
    <row r="12" spans="1:12" ht="24">
      <c r="A12" s="185">
        <v>2</v>
      </c>
      <c r="B12" s="186" t="s">
        <v>200</v>
      </c>
      <c r="C12" s="187"/>
      <c r="D12" s="188"/>
      <c r="E12" s="185" t="s">
        <v>141</v>
      </c>
      <c r="F12" s="189">
        <v>21470.9</v>
      </c>
      <c r="G12" s="190">
        <v>0</v>
      </c>
      <c r="H12" s="190">
        <v>0</v>
      </c>
      <c r="I12" s="190">
        <v>0</v>
      </c>
      <c r="J12" s="190">
        <v>4100</v>
      </c>
      <c r="K12" s="191">
        <f>ROUND($F$12+$H$12+$I$12+$J$12,2)</f>
        <v>25570.9</v>
      </c>
      <c r="L12" s="214" t="s">
        <v>237</v>
      </c>
    </row>
    <row r="13" spans="1:12" ht="24">
      <c r="A13" s="185">
        <v>3</v>
      </c>
      <c r="B13" s="186" t="s">
        <v>101</v>
      </c>
      <c r="C13" s="187"/>
      <c r="D13" s="188"/>
      <c r="E13" s="185" t="s">
        <v>141</v>
      </c>
      <c r="F13" s="189">
        <v>20820.56</v>
      </c>
      <c r="G13" s="190">
        <v>0</v>
      </c>
      <c r="H13" s="190">
        <v>0</v>
      </c>
      <c r="I13" s="190">
        <v>0</v>
      </c>
      <c r="J13" s="190">
        <v>3300</v>
      </c>
      <c r="K13" s="191">
        <f>ROUND($F$13+$H$13+$I$13+$J$13,2)</f>
        <v>24120.56</v>
      </c>
      <c r="L13" s="214" t="s">
        <v>239</v>
      </c>
    </row>
    <row r="14" spans="1:12" ht="24">
      <c r="A14" s="185">
        <v>4</v>
      </c>
      <c r="B14" s="186" t="s">
        <v>199</v>
      </c>
      <c r="C14" s="187"/>
      <c r="D14" s="188"/>
      <c r="E14" s="185" t="s">
        <v>141</v>
      </c>
      <c r="F14" s="189">
        <v>20803.74</v>
      </c>
      <c r="G14" s="190">
        <v>0</v>
      </c>
      <c r="H14" s="190">
        <v>0</v>
      </c>
      <c r="I14" s="190">
        <v>0</v>
      </c>
      <c r="J14" s="190">
        <v>3300</v>
      </c>
      <c r="K14" s="191">
        <f>ROUND($F$14+$H$14+$I$14+$J$14,2)</f>
        <v>24103.74</v>
      </c>
      <c r="L14" s="214" t="s">
        <v>238</v>
      </c>
    </row>
    <row r="15" spans="1:12" ht="24">
      <c r="A15" s="185">
        <v>5</v>
      </c>
      <c r="B15" s="186" t="s">
        <v>198</v>
      </c>
      <c r="C15" s="187"/>
      <c r="D15" s="188"/>
      <c r="E15" s="185" t="s">
        <v>141</v>
      </c>
      <c r="F15" s="189">
        <v>20610.28</v>
      </c>
      <c r="G15" s="190">
        <v>0</v>
      </c>
      <c r="H15" s="190">
        <v>0</v>
      </c>
      <c r="I15" s="190">
        <v>0</v>
      </c>
      <c r="J15" s="190">
        <v>3300</v>
      </c>
      <c r="K15" s="191">
        <f>ROUND($F$15+$H$15+$I$15+$J$15,2)</f>
        <v>23910.28</v>
      </c>
      <c r="L15" s="214" t="s">
        <v>240</v>
      </c>
    </row>
    <row r="16" spans="1:12" ht="24">
      <c r="A16" s="185">
        <v>6</v>
      </c>
      <c r="B16" s="186" t="s">
        <v>201</v>
      </c>
      <c r="C16" s="187"/>
      <c r="D16" s="188"/>
      <c r="E16" s="185" t="s">
        <v>202</v>
      </c>
      <c r="F16" s="189">
        <v>67.29</v>
      </c>
      <c r="G16" s="190">
        <v>0</v>
      </c>
      <c r="H16" s="190">
        <v>0</v>
      </c>
      <c r="I16" s="190">
        <v>0</v>
      </c>
      <c r="J16" s="190">
        <v>0</v>
      </c>
      <c r="K16" s="191">
        <f>ROUND($F$16+$H$16+$I$16+$J$16,2)</f>
        <v>67.29</v>
      </c>
      <c r="L16" s="214" t="s">
        <v>257</v>
      </c>
    </row>
    <row r="17" spans="1:12" ht="24">
      <c r="A17" s="185">
        <v>7</v>
      </c>
      <c r="B17" s="187" t="s">
        <v>142</v>
      </c>
      <c r="C17" s="187"/>
      <c r="D17" s="188"/>
      <c r="E17" s="185" t="s">
        <v>141</v>
      </c>
      <c r="F17" s="189">
        <v>2803.74</v>
      </c>
      <c r="G17" s="190">
        <v>0</v>
      </c>
      <c r="H17" s="190">
        <v>0</v>
      </c>
      <c r="I17" s="190">
        <v>0</v>
      </c>
      <c r="J17" s="190">
        <v>0</v>
      </c>
      <c r="K17" s="191">
        <f>ROUND($F$17+$H$17+$I$17+$J$17,2)</f>
        <v>2803.74</v>
      </c>
      <c r="L17" s="214" t="s">
        <v>258</v>
      </c>
    </row>
    <row r="18" spans="1:12" ht="24">
      <c r="A18" s="185">
        <v>8</v>
      </c>
      <c r="B18" s="187" t="s">
        <v>143</v>
      </c>
      <c r="C18" s="187"/>
      <c r="D18" s="188"/>
      <c r="E18" s="185" t="s">
        <v>17</v>
      </c>
      <c r="F18" s="189">
        <v>400.47</v>
      </c>
      <c r="G18" s="190">
        <v>65</v>
      </c>
      <c r="H18" s="194">
        <v>135.37</v>
      </c>
      <c r="I18" s="190">
        <v>0</v>
      </c>
      <c r="J18" s="190">
        <v>0</v>
      </c>
      <c r="K18" s="191">
        <f>ROUND($F$18+$H$18+$I$18+$J$18,2)</f>
        <v>535.84</v>
      </c>
      <c r="L18" s="214" t="s">
        <v>259</v>
      </c>
    </row>
    <row r="19" spans="1:12" ht="24">
      <c r="A19" s="185">
        <v>9</v>
      </c>
      <c r="B19" s="187" t="s">
        <v>144</v>
      </c>
      <c r="C19" s="187"/>
      <c r="D19" s="188"/>
      <c r="E19" s="185" t="s">
        <v>17</v>
      </c>
      <c r="F19" s="189">
        <v>470.09</v>
      </c>
      <c r="G19" s="190">
        <v>65</v>
      </c>
      <c r="H19" s="194">
        <v>135.37</v>
      </c>
      <c r="I19" s="190">
        <v>0</v>
      </c>
      <c r="J19" s="190">
        <v>0</v>
      </c>
      <c r="K19" s="191">
        <f>ROUND($F$19+$H$19+$I$19+$J$19,2)</f>
        <v>605.46</v>
      </c>
      <c r="L19" s="214" t="s">
        <v>260</v>
      </c>
    </row>
    <row r="20" spans="1:12" ht="24">
      <c r="A20" s="185">
        <v>10</v>
      </c>
      <c r="B20" s="187" t="s">
        <v>145</v>
      </c>
      <c r="C20" s="187"/>
      <c r="D20" s="188"/>
      <c r="E20" s="185" t="s">
        <v>17</v>
      </c>
      <c r="F20" s="189">
        <v>299.07</v>
      </c>
      <c r="G20" s="190">
        <v>0</v>
      </c>
      <c r="H20" s="190">
        <v>0</v>
      </c>
      <c r="I20" s="190">
        <v>0</v>
      </c>
      <c r="J20" s="190">
        <v>0</v>
      </c>
      <c r="K20" s="191">
        <f>ROUND($F$20+$H$20+$I$20+$J$20,2)</f>
        <v>299.07</v>
      </c>
      <c r="L20" s="214" t="s">
        <v>241</v>
      </c>
    </row>
    <row r="21" spans="1:12" ht="24">
      <c r="A21" s="185">
        <v>11</v>
      </c>
      <c r="B21" s="192" t="s">
        <v>166</v>
      </c>
      <c r="C21" s="187"/>
      <c r="D21" s="188"/>
      <c r="E21" s="185" t="s">
        <v>17</v>
      </c>
      <c r="F21" s="208">
        <v>120</v>
      </c>
      <c r="G21" s="190">
        <v>0</v>
      </c>
      <c r="H21" s="190">
        <v>0</v>
      </c>
      <c r="I21" s="190">
        <v>0</v>
      </c>
      <c r="J21" s="190">
        <v>0</v>
      </c>
      <c r="K21" s="191">
        <f>ROUND($F$21+$H$21+$I$21+$J$21,2)</f>
        <v>120</v>
      </c>
      <c r="L21" s="214" t="s">
        <v>147</v>
      </c>
    </row>
    <row r="22" spans="1:12" ht="24">
      <c r="A22" s="185">
        <v>12</v>
      </c>
      <c r="B22" s="193" t="s">
        <v>148</v>
      </c>
      <c r="C22" s="187"/>
      <c r="D22" s="188"/>
      <c r="E22" s="185" t="s">
        <v>146</v>
      </c>
      <c r="F22" s="194">
        <v>0</v>
      </c>
      <c r="G22" s="190">
        <v>0</v>
      </c>
      <c r="H22" s="190">
        <v>0</v>
      </c>
      <c r="I22" s="190">
        <v>0</v>
      </c>
      <c r="J22" s="190">
        <v>0</v>
      </c>
      <c r="K22" s="191">
        <f>ROUND($F$22+$H$22+$I$22+$J$22,2)</f>
        <v>0</v>
      </c>
      <c r="L22" s="214" t="s">
        <v>147</v>
      </c>
    </row>
    <row r="23" spans="1:12" ht="24">
      <c r="A23" s="185">
        <v>13</v>
      </c>
      <c r="B23" s="187" t="s">
        <v>149</v>
      </c>
      <c r="C23" s="187"/>
      <c r="D23" s="188"/>
      <c r="E23" s="185" t="s">
        <v>150</v>
      </c>
      <c r="F23" s="189">
        <v>696.26</v>
      </c>
      <c r="G23" s="190">
        <v>0</v>
      </c>
      <c r="H23" s="190">
        <v>0</v>
      </c>
      <c r="I23" s="190">
        <v>0</v>
      </c>
      <c r="J23" s="190">
        <v>0</v>
      </c>
      <c r="K23" s="191">
        <f>ROUND($F$23+$H$23+$I$23+$J$23,2)</f>
        <v>696.26</v>
      </c>
      <c r="L23" s="214" t="s">
        <v>261</v>
      </c>
    </row>
    <row r="24" spans="1:12" ht="24">
      <c r="A24" s="185">
        <v>14</v>
      </c>
      <c r="B24" s="187" t="s">
        <v>151</v>
      </c>
      <c r="C24" s="187"/>
      <c r="D24" s="188"/>
      <c r="E24" s="185" t="s">
        <v>150</v>
      </c>
      <c r="F24" s="189">
        <v>582.24</v>
      </c>
      <c r="G24" s="190">
        <v>0</v>
      </c>
      <c r="H24" s="190">
        <v>0</v>
      </c>
      <c r="I24" s="190">
        <v>0</v>
      </c>
      <c r="J24" s="190">
        <v>0</v>
      </c>
      <c r="K24" s="191">
        <f>ROUND($F$24+$H$24+$I$24+$J$24,2)</f>
        <v>582.24</v>
      </c>
      <c r="L24" s="214" t="s">
        <v>262</v>
      </c>
    </row>
    <row r="25" spans="1:12" ht="26.25">
      <c r="A25" s="185">
        <v>15</v>
      </c>
      <c r="B25" s="187" t="s">
        <v>152</v>
      </c>
      <c r="C25" s="187"/>
      <c r="D25" s="188"/>
      <c r="E25" s="185" t="s">
        <v>146</v>
      </c>
      <c r="F25" s="194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>ROUND($F$25+$H$25+$I$25+$J$25,2)</f>
        <v>0</v>
      </c>
      <c r="L25" s="214" t="s">
        <v>147</v>
      </c>
    </row>
    <row r="26" spans="1:12" ht="24">
      <c r="A26" s="185">
        <v>16</v>
      </c>
      <c r="B26" s="195" t="s">
        <v>153</v>
      </c>
      <c r="C26" s="187"/>
      <c r="D26" s="188"/>
      <c r="E26" s="185" t="s">
        <v>85</v>
      </c>
      <c r="F26" s="189">
        <v>37.38</v>
      </c>
      <c r="G26" s="190">
        <v>0</v>
      </c>
      <c r="H26" s="190">
        <v>0</v>
      </c>
      <c r="I26" s="190">
        <v>0</v>
      </c>
      <c r="J26" s="190">
        <v>0</v>
      </c>
      <c r="K26" s="191">
        <f>ROUND($F$26+$H$26+$I$26+$J$26,2)</f>
        <v>37.38</v>
      </c>
      <c r="L26" s="214" t="s">
        <v>263</v>
      </c>
    </row>
    <row r="27" spans="1:12" ht="24">
      <c r="A27" s="185">
        <v>17</v>
      </c>
      <c r="B27" s="195" t="s">
        <v>185</v>
      </c>
      <c r="C27" s="187"/>
      <c r="D27" s="188"/>
      <c r="E27" s="185" t="s">
        <v>146</v>
      </c>
      <c r="F27" s="194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>ROUND($F$27+$H$27+$I$27+$J$27,2)</f>
        <v>0</v>
      </c>
      <c r="L27" s="214" t="s">
        <v>147</v>
      </c>
    </row>
    <row r="28" spans="1:12" ht="24">
      <c r="A28" s="185">
        <v>19</v>
      </c>
      <c r="B28" s="196" t="s">
        <v>186</v>
      </c>
      <c r="C28" s="187"/>
      <c r="D28" s="188"/>
      <c r="E28" s="185" t="s">
        <v>146</v>
      </c>
      <c r="F28" s="189">
        <v>176.63</v>
      </c>
      <c r="G28" s="190">
        <v>0</v>
      </c>
      <c r="H28" s="190">
        <v>0</v>
      </c>
      <c r="I28" s="190">
        <v>0</v>
      </c>
      <c r="J28" s="190">
        <v>0</v>
      </c>
      <c r="K28" s="191">
        <f>ROUND($F$28+$H$28+$I$28+$J$28,2)</f>
        <v>176.63</v>
      </c>
      <c r="L28" s="214" t="s">
        <v>264</v>
      </c>
    </row>
    <row r="29" spans="1:12" ht="24">
      <c r="A29" s="185">
        <v>20</v>
      </c>
      <c r="B29" s="197" t="s">
        <v>87</v>
      </c>
      <c r="C29" s="187"/>
      <c r="D29" s="188"/>
      <c r="E29" s="185" t="s">
        <v>146</v>
      </c>
      <c r="F29" s="194">
        <v>3.79</v>
      </c>
      <c r="G29" s="190">
        <v>0</v>
      </c>
      <c r="H29" s="190">
        <v>0</v>
      </c>
      <c r="I29" s="190">
        <v>0</v>
      </c>
      <c r="J29" s="190">
        <v>0</v>
      </c>
      <c r="K29" s="191">
        <f>ROUND($F$29+$H$29+$I$29+$J$29,2)</f>
        <v>3.79</v>
      </c>
      <c r="L29" s="214" t="s">
        <v>147</v>
      </c>
    </row>
    <row r="30" spans="1:12" ht="24">
      <c r="A30" s="185">
        <v>21</v>
      </c>
      <c r="B30" s="197" t="s">
        <v>213</v>
      </c>
      <c r="C30" s="187"/>
      <c r="D30" s="188"/>
      <c r="E30" s="185" t="s">
        <v>22</v>
      </c>
      <c r="F30" s="194">
        <v>25</v>
      </c>
      <c r="G30" s="190">
        <v>0</v>
      </c>
      <c r="H30" s="190">
        <v>0</v>
      </c>
      <c r="I30" s="190">
        <v>0</v>
      </c>
      <c r="J30" s="190">
        <v>0</v>
      </c>
      <c r="K30" s="191">
        <f>ROUND($F$30+$H$30+$I$30+$J$30,2)</f>
        <v>25</v>
      </c>
      <c r="L30" s="214" t="s">
        <v>147</v>
      </c>
    </row>
    <row r="31" spans="1:12" ht="24">
      <c r="A31" s="185">
        <v>22</v>
      </c>
      <c r="B31" s="197" t="s">
        <v>89</v>
      </c>
      <c r="C31" s="187"/>
      <c r="D31" s="188"/>
      <c r="E31" s="185" t="s">
        <v>90</v>
      </c>
      <c r="F31" s="194">
        <v>30</v>
      </c>
      <c r="G31" s="190">
        <v>0</v>
      </c>
      <c r="H31" s="190">
        <v>0</v>
      </c>
      <c r="I31" s="190">
        <v>0</v>
      </c>
      <c r="J31" s="190">
        <v>0</v>
      </c>
      <c r="K31" s="191">
        <f>ROUND($F$31+$H$31+$I$31+$J$31,2)</f>
        <v>30</v>
      </c>
      <c r="L31" s="214" t="s">
        <v>147</v>
      </c>
    </row>
    <row r="32" spans="1:12" ht="24">
      <c r="A32" s="185">
        <v>23</v>
      </c>
      <c r="B32" s="197" t="s">
        <v>93</v>
      </c>
      <c r="C32" s="187"/>
      <c r="D32" s="188"/>
      <c r="E32" s="185" t="s">
        <v>34</v>
      </c>
      <c r="F32" s="194">
        <v>0</v>
      </c>
      <c r="G32" s="190">
        <v>0</v>
      </c>
      <c r="H32" s="190">
        <v>0</v>
      </c>
      <c r="I32" s="190">
        <v>0</v>
      </c>
      <c r="J32" s="190">
        <v>0</v>
      </c>
      <c r="K32" s="191">
        <f>ROUND($F$32+$H$32+$I$32+$J$32,2)</f>
        <v>0</v>
      </c>
      <c r="L32" s="214" t="s">
        <v>147</v>
      </c>
    </row>
    <row r="33" spans="1:12" ht="24">
      <c r="A33" s="185"/>
      <c r="B33" s="197"/>
      <c r="C33" s="187"/>
      <c r="D33" s="188"/>
      <c r="E33" s="185"/>
      <c r="F33" s="209"/>
      <c r="G33" s="190"/>
      <c r="H33" s="190"/>
      <c r="I33" s="190"/>
      <c r="J33" s="190"/>
      <c r="K33" s="191"/>
      <c r="L33" s="185"/>
    </row>
    <row r="34" spans="1:12" ht="24">
      <c r="A34" s="198"/>
      <c r="B34" s="199"/>
      <c r="C34" s="200"/>
      <c r="D34" s="201"/>
      <c r="E34" s="202"/>
      <c r="F34" s="203"/>
      <c r="G34" s="202"/>
      <c r="H34" s="202"/>
      <c r="I34" s="202"/>
      <c r="J34" s="202"/>
      <c r="K34" s="202"/>
      <c r="L34" s="202"/>
    </row>
    <row r="35" ht="24">
      <c r="A35" s="2"/>
    </row>
  </sheetData>
  <sheetProtection/>
  <mergeCells count="2">
    <mergeCell ref="A1:L1"/>
    <mergeCell ref="B8:D8"/>
  </mergeCells>
  <printOptions horizontalCentered="1"/>
  <pageMargins left="0.5905511811023623" right="0" top="0.5905511811023623" bottom="0.1968503937007874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="120" zoomScaleSheetLayoutView="120" zoomScalePageLayoutView="0" workbookViewId="0" topLeftCell="A1">
      <selection activeCell="J21" sqref="J21"/>
    </sheetView>
  </sheetViews>
  <sheetFormatPr defaultColWidth="9.140625" defaultRowHeight="15"/>
  <cols>
    <col min="1" max="1" width="1.421875" style="72" customWidth="1"/>
    <col min="2" max="2" width="15.421875" style="72" customWidth="1"/>
    <col min="3" max="3" width="19.28125" style="72" customWidth="1"/>
    <col min="4" max="4" width="3.7109375" style="72" customWidth="1"/>
    <col min="5" max="5" width="7.8515625" style="72" customWidth="1"/>
    <col min="6" max="6" width="6.421875" style="72" customWidth="1"/>
    <col min="7" max="7" width="6.8515625" style="72" customWidth="1"/>
    <col min="8" max="8" width="3.00390625" style="72" customWidth="1"/>
    <col min="9" max="9" width="6.421875" style="72" customWidth="1"/>
    <col min="10" max="10" width="9.00390625" style="72" customWidth="1"/>
    <col min="11" max="11" width="2.57421875" style="72" customWidth="1"/>
    <col min="12" max="12" width="5.57421875" style="72" customWidth="1"/>
    <col min="13" max="13" width="5.140625" style="72" customWidth="1"/>
    <col min="14" max="14" width="3.8515625" style="72" customWidth="1"/>
    <col min="15" max="15" width="3.7109375" style="72" customWidth="1"/>
    <col min="16" max="16" width="10.421875" style="72" customWidth="1"/>
    <col min="17" max="17" width="8.7109375" style="72" customWidth="1"/>
    <col min="18" max="16384" width="9.00390625" style="72" customWidth="1"/>
  </cols>
  <sheetData>
    <row r="1" spans="1:17" ht="24">
      <c r="A1" s="66"/>
      <c r="B1" s="67" t="s">
        <v>208</v>
      </c>
      <c r="C1" s="66"/>
      <c r="D1" s="66"/>
      <c r="E1" s="66"/>
      <c r="F1" s="66"/>
      <c r="G1" s="66"/>
      <c r="H1" s="68"/>
      <c r="I1" s="67"/>
      <c r="J1" s="66"/>
      <c r="K1" s="66"/>
      <c r="L1" s="69" t="s">
        <v>103</v>
      </c>
      <c r="M1" s="100">
        <v>15</v>
      </c>
      <c r="N1" s="71" t="s">
        <v>104</v>
      </c>
      <c r="O1" s="66"/>
      <c r="P1" s="66"/>
      <c r="Q1" s="66"/>
    </row>
    <row r="2" spans="1:18" ht="24">
      <c r="A2" s="66"/>
      <c r="B2" s="66" t="s">
        <v>207</v>
      </c>
      <c r="C2" s="66"/>
      <c r="D2" s="176" t="s">
        <v>111</v>
      </c>
      <c r="E2" s="253">
        <v>2.5</v>
      </c>
      <c r="F2" s="253"/>
      <c r="G2" s="73" t="s">
        <v>105</v>
      </c>
      <c r="H2" s="253">
        <v>10</v>
      </c>
      <c r="I2" s="253"/>
      <c r="J2" s="66"/>
      <c r="K2" s="66"/>
      <c r="L2" s="69"/>
      <c r="M2" s="70"/>
      <c r="N2" s="71"/>
      <c r="O2" s="176" t="s">
        <v>77</v>
      </c>
      <c r="P2" s="102">
        <f>ROUND(E2*H2,2)</f>
        <v>25</v>
      </c>
      <c r="Q2" s="176" t="s">
        <v>22</v>
      </c>
      <c r="R2" s="156"/>
    </row>
    <row r="3" spans="1:18" ht="24">
      <c r="A3" s="66"/>
      <c r="B3" s="66" t="s">
        <v>113</v>
      </c>
      <c r="C3" s="66"/>
      <c r="D3" s="176" t="s">
        <v>111</v>
      </c>
      <c r="E3" s="253">
        <v>5</v>
      </c>
      <c r="F3" s="253"/>
      <c r="G3" s="73" t="s">
        <v>105</v>
      </c>
      <c r="H3" s="253">
        <v>110</v>
      </c>
      <c r="I3" s="253"/>
      <c r="J3" s="73" t="s">
        <v>105</v>
      </c>
      <c r="K3" s="254">
        <f>M1/100</f>
        <v>0.15</v>
      </c>
      <c r="L3" s="254"/>
      <c r="M3" s="66"/>
      <c r="N3" s="66"/>
      <c r="O3" s="176" t="s">
        <v>77</v>
      </c>
      <c r="P3" s="102">
        <f>ROUND(E3*H3*K3,2)</f>
        <v>82.5</v>
      </c>
      <c r="Q3" s="176" t="s">
        <v>20</v>
      </c>
      <c r="R3" s="156"/>
    </row>
    <row r="4" spans="1:17" ht="24">
      <c r="A4" s="66"/>
      <c r="B4" s="66" t="s">
        <v>110</v>
      </c>
      <c r="C4" s="66"/>
      <c r="D4" s="176" t="s">
        <v>111</v>
      </c>
      <c r="E4" s="258">
        <v>0</v>
      </c>
      <c r="F4" s="258"/>
      <c r="G4" s="73" t="s">
        <v>81</v>
      </c>
      <c r="H4" s="253">
        <v>5000</v>
      </c>
      <c r="I4" s="253"/>
      <c r="J4" s="66" t="s">
        <v>20</v>
      </c>
      <c r="K4" s="66"/>
      <c r="L4" s="66"/>
      <c r="M4" s="66"/>
      <c r="N4" s="66"/>
      <c r="O4" s="176" t="s">
        <v>77</v>
      </c>
      <c r="P4" s="102">
        <f>ROUND(E4/H4,2)</f>
        <v>0</v>
      </c>
      <c r="Q4" s="176" t="s">
        <v>106</v>
      </c>
    </row>
    <row r="5" spans="1:17" ht="24">
      <c r="A5" s="66"/>
      <c r="B5" s="66" t="s">
        <v>140</v>
      </c>
      <c r="C5" s="66"/>
      <c r="D5" s="176" t="s">
        <v>111</v>
      </c>
      <c r="E5" s="255">
        <f>ค่าวัสดุและดำเนินการ!K11</f>
        <v>2200</v>
      </c>
      <c r="F5" s="255"/>
      <c r="G5" s="73"/>
      <c r="H5" s="256"/>
      <c r="I5" s="256"/>
      <c r="J5" s="78"/>
      <c r="K5" s="66"/>
      <c r="L5" s="66"/>
      <c r="M5" s="66"/>
      <c r="N5" s="66"/>
      <c r="O5" s="176" t="s">
        <v>77</v>
      </c>
      <c r="P5" s="102">
        <f>ROUND(E5+H5,2)</f>
        <v>2200</v>
      </c>
      <c r="Q5" s="176" t="s">
        <v>106</v>
      </c>
    </row>
    <row r="6" spans="1:17" ht="24">
      <c r="A6" s="66"/>
      <c r="B6" s="66" t="s">
        <v>107</v>
      </c>
      <c r="C6" s="66"/>
      <c r="D6" s="66"/>
      <c r="E6" s="79"/>
      <c r="F6" s="78"/>
      <c r="G6" s="78"/>
      <c r="H6" s="79"/>
      <c r="I6" s="74"/>
      <c r="J6" s="74"/>
      <c r="K6" s="66"/>
      <c r="L6" s="66"/>
      <c r="M6" s="66"/>
      <c r="N6" s="66"/>
      <c r="O6" s="176" t="s">
        <v>77</v>
      </c>
      <c r="P6" s="161">
        <f>P2</f>
        <v>25</v>
      </c>
      <c r="Q6" s="176" t="s">
        <v>22</v>
      </c>
    </row>
    <row r="7" spans="1:17" ht="24">
      <c r="A7" s="66"/>
      <c r="B7" s="66" t="s">
        <v>112</v>
      </c>
      <c r="C7" s="66"/>
      <c r="D7" s="176" t="s">
        <v>111</v>
      </c>
      <c r="E7" s="257">
        <f>P6</f>
        <v>25</v>
      </c>
      <c r="F7" s="257"/>
      <c r="G7" s="73" t="s">
        <v>105</v>
      </c>
      <c r="H7" s="257">
        <f>M1</f>
        <v>15</v>
      </c>
      <c r="I7" s="257"/>
      <c r="J7" s="73" t="s">
        <v>114</v>
      </c>
      <c r="K7" s="66"/>
      <c r="L7" s="66"/>
      <c r="M7" s="66"/>
      <c r="N7" s="66"/>
      <c r="O7" s="176" t="s">
        <v>77</v>
      </c>
      <c r="P7" s="102">
        <f>ROUND(E7*(H7/100),2)</f>
        <v>3.75</v>
      </c>
      <c r="Q7" s="176" t="s">
        <v>20</v>
      </c>
    </row>
    <row r="8" spans="1:17" ht="24">
      <c r="A8" s="66"/>
      <c r="B8" s="66" t="s">
        <v>140</v>
      </c>
      <c r="C8" s="66"/>
      <c r="D8" s="176" t="s">
        <v>111</v>
      </c>
      <c r="E8" s="255">
        <f>P7</f>
        <v>3.75</v>
      </c>
      <c r="F8" s="255"/>
      <c r="G8" s="73" t="s">
        <v>76</v>
      </c>
      <c r="H8" s="255">
        <f>P5</f>
        <v>2200</v>
      </c>
      <c r="I8" s="255"/>
      <c r="J8" s="176" t="s">
        <v>19</v>
      </c>
      <c r="K8" s="79"/>
      <c r="L8" s="66"/>
      <c r="M8" s="66"/>
      <c r="N8" s="66"/>
      <c r="O8" s="176" t="s">
        <v>77</v>
      </c>
      <c r="P8" s="102">
        <f>ROUND(E8*H8,2)</f>
        <v>8250</v>
      </c>
      <c r="Q8" s="176" t="s">
        <v>19</v>
      </c>
    </row>
    <row r="9" spans="1:17" ht="24">
      <c r="A9" s="66"/>
      <c r="B9" s="66" t="s">
        <v>78</v>
      </c>
      <c r="C9" s="66"/>
      <c r="D9" s="176" t="s">
        <v>111</v>
      </c>
      <c r="E9" s="177">
        <v>1</v>
      </c>
      <c r="F9" s="80" t="s">
        <v>154</v>
      </c>
      <c r="G9" s="258">
        <v>0</v>
      </c>
      <c r="H9" s="258"/>
      <c r="I9" s="73" t="s">
        <v>187</v>
      </c>
      <c r="J9" s="257">
        <f>P7</f>
        <v>3.75</v>
      </c>
      <c r="K9" s="257"/>
      <c r="L9" s="176" t="s">
        <v>20</v>
      </c>
      <c r="M9" s="77"/>
      <c r="N9" s="77"/>
      <c r="O9" s="176" t="s">
        <v>77</v>
      </c>
      <c r="P9" s="102">
        <f>ROUND(E9*G9*J9,2)</f>
        <v>0</v>
      </c>
      <c r="Q9" s="176" t="s">
        <v>19</v>
      </c>
    </row>
    <row r="10" spans="1:17" ht="24">
      <c r="A10" s="66"/>
      <c r="B10" s="66" t="s">
        <v>203</v>
      </c>
      <c r="C10" s="66"/>
      <c r="D10" s="176" t="s">
        <v>111</v>
      </c>
      <c r="E10" s="259">
        <v>58</v>
      </c>
      <c r="F10" s="253"/>
      <c r="G10" s="204" t="s">
        <v>204</v>
      </c>
      <c r="H10" s="260">
        <f>ค่าวัสดุและดำเนินการ!K12</f>
        <v>25570.9</v>
      </c>
      <c r="I10" s="260"/>
      <c r="J10" s="73" t="s">
        <v>82</v>
      </c>
      <c r="K10" s="66"/>
      <c r="L10" s="73" t="s">
        <v>205</v>
      </c>
      <c r="M10" s="66"/>
      <c r="N10" s="66"/>
      <c r="O10" s="176" t="s">
        <v>77</v>
      </c>
      <c r="P10" s="102">
        <f>ROUND((H10/1000)*E10,2)</f>
        <v>1483.11</v>
      </c>
      <c r="Q10" s="176" t="s">
        <v>19</v>
      </c>
    </row>
    <row r="11" spans="1:17" ht="24">
      <c r="A11" s="66"/>
      <c r="B11" s="66" t="s">
        <v>182</v>
      </c>
      <c r="C11" s="66"/>
      <c r="D11" s="176" t="s">
        <v>111</v>
      </c>
      <c r="E11" s="255">
        <f>ROUND(E10*(25/1000),2)</f>
        <v>1.45</v>
      </c>
      <c r="F11" s="257" t="e">
        <f>ROUND(#REF!*#REF!,2)</f>
        <v>#REF!</v>
      </c>
      <c r="G11" s="204" t="s">
        <v>204</v>
      </c>
      <c r="H11" s="260">
        <f>ค่าวัสดุและดำเนินการ!K16</f>
        <v>67.29</v>
      </c>
      <c r="I11" s="260"/>
      <c r="J11" s="73" t="s">
        <v>209</v>
      </c>
      <c r="K11" s="66"/>
      <c r="L11" s="73"/>
      <c r="M11" s="66"/>
      <c r="N11" s="66"/>
      <c r="O11" s="176" t="s">
        <v>77</v>
      </c>
      <c r="P11" s="102">
        <f>ROUND(H11*E11,2)</f>
        <v>97.57</v>
      </c>
      <c r="Q11" s="176" t="s">
        <v>19</v>
      </c>
    </row>
    <row r="12" spans="1:18" ht="24">
      <c r="A12" s="66"/>
      <c r="B12" s="66" t="s">
        <v>108</v>
      </c>
      <c r="C12" s="66"/>
      <c r="D12" s="176" t="s">
        <v>111</v>
      </c>
      <c r="E12" s="253">
        <v>20.6</v>
      </c>
      <c r="F12" s="253"/>
      <c r="G12" s="176" t="s">
        <v>115</v>
      </c>
      <c r="H12" s="261">
        <v>10</v>
      </c>
      <c r="I12" s="261"/>
      <c r="J12" s="176" t="s">
        <v>34</v>
      </c>
      <c r="K12" s="66"/>
      <c r="L12" s="66"/>
      <c r="M12" s="176"/>
      <c r="N12" s="75"/>
      <c r="O12" s="176" t="s">
        <v>77</v>
      </c>
      <c r="P12" s="102">
        <f>ROUND(E12*H12,2)</f>
        <v>206</v>
      </c>
      <c r="Q12" s="176" t="s">
        <v>19</v>
      </c>
      <c r="R12" s="156"/>
    </row>
    <row r="13" spans="1:17" ht="24">
      <c r="A13" s="66"/>
      <c r="B13" s="66" t="s">
        <v>206</v>
      </c>
      <c r="C13" s="66"/>
      <c r="D13" s="176" t="s">
        <v>111</v>
      </c>
      <c r="E13" s="253">
        <v>11.98</v>
      </c>
      <c r="F13" s="253"/>
      <c r="G13" s="176" t="s">
        <v>115</v>
      </c>
      <c r="H13" s="260">
        <f>P6</f>
        <v>25</v>
      </c>
      <c r="I13" s="260"/>
      <c r="J13" s="73" t="s">
        <v>22</v>
      </c>
      <c r="K13" s="66"/>
      <c r="L13" s="66"/>
      <c r="M13" s="66"/>
      <c r="N13" s="66"/>
      <c r="O13" s="176" t="s">
        <v>77</v>
      </c>
      <c r="P13" s="102">
        <f>ROUND(E13*H13,2)</f>
        <v>299.5</v>
      </c>
      <c r="Q13" s="176" t="s">
        <v>19</v>
      </c>
    </row>
    <row r="14" spans="1:17" ht="24">
      <c r="A14" s="66"/>
      <c r="B14" s="66" t="s">
        <v>109</v>
      </c>
      <c r="C14" s="66"/>
      <c r="D14" s="176" t="s">
        <v>111</v>
      </c>
      <c r="E14" s="253">
        <v>0</v>
      </c>
      <c r="F14" s="253"/>
      <c r="G14" s="176" t="s">
        <v>115</v>
      </c>
      <c r="H14" s="260">
        <f>P6</f>
        <v>25</v>
      </c>
      <c r="I14" s="260"/>
      <c r="J14" s="73" t="s">
        <v>22</v>
      </c>
      <c r="K14" s="83"/>
      <c r="L14" s="84"/>
      <c r="M14" s="84"/>
      <c r="N14" s="82"/>
      <c r="O14" s="176" t="s">
        <v>77</v>
      </c>
      <c r="P14" s="102">
        <f>ROUND(E14*H14,2)</f>
        <v>0</v>
      </c>
      <c r="Q14" s="176" t="s">
        <v>19</v>
      </c>
    </row>
    <row r="15" spans="1:20" ht="24">
      <c r="A15" s="66"/>
      <c r="B15" s="66" t="s">
        <v>116</v>
      </c>
      <c r="C15" s="66"/>
      <c r="D15" s="176" t="s">
        <v>111</v>
      </c>
      <c r="E15" s="253">
        <v>0</v>
      </c>
      <c r="F15" s="253"/>
      <c r="G15" s="176" t="s">
        <v>115</v>
      </c>
      <c r="H15" s="260">
        <f>P6</f>
        <v>25</v>
      </c>
      <c r="I15" s="260"/>
      <c r="J15" s="73" t="s">
        <v>22</v>
      </c>
      <c r="K15" s="83"/>
      <c r="L15" s="84"/>
      <c r="M15" s="84"/>
      <c r="N15" s="82"/>
      <c r="O15" s="176" t="s">
        <v>77</v>
      </c>
      <c r="P15" s="102">
        <f>ROUND(E15*H15,2)</f>
        <v>0</v>
      </c>
      <c r="Q15" s="176" t="s">
        <v>19</v>
      </c>
      <c r="T15" s="152"/>
    </row>
    <row r="16" spans="1:17" ht="24">
      <c r="A16" s="66"/>
      <c r="B16" s="66" t="s">
        <v>79</v>
      </c>
      <c r="C16" s="66"/>
      <c r="D16" s="66"/>
      <c r="E16" s="86"/>
      <c r="F16" s="66"/>
      <c r="G16" s="66"/>
      <c r="H16" s="66"/>
      <c r="I16" s="66"/>
      <c r="J16" s="66"/>
      <c r="K16" s="66"/>
      <c r="L16" s="66"/>
      <c r="M16" s="66"/>
      <c r="N16" s="66"/>
      <c r="O16" s="176" t="s">
        <v>77</v>
      </c>
      <c r="P16" s="104">
        <f>ROUND((SUM(P8:P15)),2)</f>
        <v>10336.18</v>
      </c>
      <c r="Q16" s="176" t="s">
        <v>19</v>
      </c>
    </row>
    <row r="17" spans="1:17" ht="24">
      <c r="A17" s="66"/>
      <c r="B17" s="76" t="s">
        <v>80</v>
      </c>
      <c r="C17" s="66"/>
      <c r="D17" s="176" t="s">
        <v>111</v>
      </c>
      <c r="E17" s="257">
        <f>P16</f>
        <v>10336.18</v>
      </c>
      <c r="F17" s="257"/>
      <c r="G17" s="176" t="s">
        <v>81</v>
      </c>
      <c r="H17" s="260">
        <f>P6</f>
        <v>25</v>
      </c>
      <c r="I17" s="260"/>
      <c r="J17" s="78"/>
      <c r="K17" s="66"/>
      <c r="L17" s="66"/>
      <c r="M17" s="66"/>
      <c r="N17" s="66"/>
      <c r="O17" s="176" t="s">
        <v>77</v>
      </c>
      <c r="P17" s="151">
        <f>ROUND(E17/H17,2)</f>
        <v>413.45</v>
      </c>
      <c r="Q17" s="176" t="s">
        <v>102</v>
      </c>
    </row>
    <row r="18" spans="14:17" ht="24.75" thickBot="1">
      <c r="N18" s="103" t="s">
        <v>155</v>
      </c>
      <c r="O18" s="176" t="s">
        <v>77</v>
      </c>
      <c r="P18" s="105">
        <f>ROUNDDOWN(P17,0)</f>
        <v>413</v>
      </c>
      <c r="Q18" s="176" t="s">
        <v>102</v>
      </c>
    </row>
    <row r="19" ht="18" thickTop="1"/>
  </sheetData>
  <sheetProtection/>
  <mergeCells count="29">
    <mergeCell ref="E11:F11"/>
    <mergeCell ref="H11:I11"/>
    <mergeCell ref="E15:F15"/>
    <mergeCell ref="H15:I15"/>
    <mergeCell ref="E17:F17"/>
    <mergeCell ref="H17:I17"/>
    <mergeCell ref="E12:F12"/>
    <mergeCell ref="H12:I12"/>
    <mergeCell ref="E13:F13"/>
    <mergeCell ref="H13:I13"/>
    <mergeCell ref="E14:F14"/>
    <mergeCell ref="H14:I14"/>
    <mergeCell ref="E8:F8"/>
    <mergeCell ref="H8:I8"/>
    <mergeCell ref="G9:H9"/>
    <mergeCell ref="J9:K9"/>
    <mergeCell ref="E10:F10"/>
    <mergeCell ref="H10:I10"/>
    <mergeCell ref="E5:F5"/>
    <mergeCell ref="H5:I5"/>
    <mergeCell ref="E7:F7"/>
    <mergeCell ref="H7:I7"/>
    <mergeCell ref="E4:F4"/>
    <mergeCell ref="H4:I4"/>
    <mergeCell ref="E2:F2"/>
    <mergeCell ref="H2:I2"/>
    <mergeCell ref="E3:F3"/>
    <mergeCell ref="H3:I3"/>
    <mergeCell ref="K3:L3"/>
  </mergeCells>
  <printOptions horizontalCentered="1"/>
  <pageMargins left="0.5905511811023623" right="0" top="0.5905511811023623" bottom="0" header="0.31496062992125984" footer="0.31496062992125984"/>
  <pageSetup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6.8515625" style="1" customWidth="1"/>
    <col min="2" max="2" width="20.00390625" style="1" customWidth="1"/>
    <col min="3" max="3" width="4.7109375" style="1" customWidth="1"/>
    <col min="4" max="4" width="4.140625" style="1" customWidth="1"/>
    <col min="5" max="5" width="9.421875" style="1" customWidth="1"/>
    <col min="6" max="10" width="11.57421875" style="1" customWidth="1"/>
    <col min="11" max="16384" width="9.00390625" style="1" customWidth="1"/>
  </cols>
  <sheetData>
    <row r="1" spans="1:10" ht="24">
      <c r="A1" s="16" t="s">
        <v>189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>
      <c r="A2" s="16" t="s">
        <v>117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 customHeight="1">
      <c r="A3" s="266" t="s">
        <v>118</v>
      </c>
      <c r="B3" s="267"/>
      <c r="C3" s="267"/>
      <c r="D3" s="267"/>
      <c r="E3" s="267"/>
      <c r="F3" s="266" t="s">
        <v>119</v>
      </c>
      <c r="G3" s="262" t="s">
        <v>120</v>
      </c>
      <c r="H3" s="262" t="s">
        <v>121</v>
      </c>
      <c r="I3" s="262" t="s">
        <v>122</v>
      </c>
      <c r="J3" s="262" t="s">
        <v>123</v>
      </c>
    </row>
    <row r="4" spans="1:10" ht="14.25" customHeight="1">
      <c r="A4" s="268"/>
      <c r="B4" s="269"/>
      <c r="C4" s="269"/>
      <c r="D4" s="269"/>
      <c r="E4" s="269"/>
      <c r="F4" s="268"/>
      <c r="G4" s="263"/>
      <c r="H4" s="263"/>
      <c r="I4" s="263"/>
      <c r="J4" s="263"/>
    </row>
    <row r="5" spans="1:10" ht="24">
      <c r="A5" s="264" t="s">
        <v>124</v>
      </c>
      <c r="B5" s="265"/>
      <c r="C5" s="265"/>
      <c r="D5" s="265"/>
      <c r="E5" s="265"/>
      <c r="F5" s="87" t="s">
        <v>125</v>
      </c>
      <c r="G5" s="87" t="s">
        <v>126</v>
      </c>
      <c r="H5" s="88" t="s">
        <v>127</v>
      </c>
      <c r="I5" s="88" t="s">
        <v>128</v>
      </c>
      <c r="J5" s="88" t="s">
        <v>129</v>
      </c>
    </row>
    <row r="6" spans="1:10" ht="24">
      <c r="A6" s="89" t="s">
        <v>130</v>
      </c>
      <c r="B6" s="79"/>
      <c r="C6" s="73">
        <v>1.05</v>
      </c>
      <c r="D6" s="73" t="s">
        <v>105</v>
      </c>
      <c r="E6" s="90">
        <f>ค่าวัสดุและดำเนินการ!K17</f>
        <v>2803.74</v>
      </c>
      <c r="F6" s="91">
        <f>ROUND($E$6*$C$6*0.4,2)</f>
        <v>1177.57</v>
      </c>
      <c r="G6" s="92">
        <f>ROUND($E$6*$C$6*0.35,2)</f>
        <v>1030.37</v>
      </c>
      <c r="H6" s="92">
        <f>ROUND($E$6*$C$6*0.32,2)</f>
        <v>942.06</v>
      </c>
      <c r="I6" s="92">
        <f>ROUND($E$6*$C$6*0.29,2)</f>
        <v>853.74</v>
      </c>
      <c r="J6" s="92">
        <f>ROUND($E$6*$C$6*0.24,2)</f>
        <v>706.54</v>
      </c>
    </row>
    <row r="7" spans="1:10" ht="24">
      <c r="A7" s="89" t="s">
        <v>131</v>
      </c>
      <c r="B7" s="79"/>
      <c r="C7" s="81">
        <v>1.2</v>
      </c>
      <c r="D7" s="73" t="s">
        <v>105</v>
      </c>
      <c r="E7" s="93">
        <f>ค่าวัสดุและดำเนินการ!K18</f>
        <v>535.84</v>
      </c>
      <c r="F7" s="91">
        <f>ROUND($E$7*$C$7*0.524,2)</f>
        <v>336.94</v>
      </c>
      <c r="G7" s="92">
        <f>ROUND($E$7*$C$7*0.572,2)</f>
        <v>367.8</v>
      </c>
      <c r="H7" s="92">
        <f>ROUND($E$7*$C$7*0.596,2)</f>
        <v>383.23</v>
      </c>
      <c r="I7" s="92">
        <f>ROUND($E$7*$C$7*0.62,2)</f>
        <v>398.66</v>
      </c>
      <c r="J7" s="92">
        <f>ROUND($E$7*$C$7*0.52,2)</f>
        <v>334.36</v>
      </c>
    </row>
    <row r="8" spans="1:10" ht="24">
      <c r="A8" s="89" t="s">
        <v>132</v>
      </c>
      <c r="B8" s="79"/>
      <c r="C8" s="73">
        <v>1.15</v>
      </c>
      <c r="D8" s="73" t="s">
        <v>105</v>
      </c>
      <c r="E8" s="93">
        <f>ค่าวัสดุและดำเนินการ!K19</f>
        <v>605.46</v>
      </c>
      <c r="F8" s="91">
        <f>ROUND($E$8*$C$8*0.728,2)</f>
        <v>506.89</v>
      </c>
      <c r="G8" s="92">
        <f>ROUND($E$8*$C$8*0.736,2)</f>
        <v>512.46</v>
      </c>
      <c r="H8" s="92">
        <f>ROUND($E$8*$C$8*0.764,2)</f>
        <v>531.96</v>
      </c>
      <c r="I8" s="92">
        <f>ROUND($E$8*$C$8*0.725,2)</f>
        <v>504.8</v>
      </c>
      <c r="J8" s="92">
        <f>ROUND($E$8*$C$8*0.87,2)</f>
        <v>605.76</v>
      </c>
    </row>
    <row r="9" spans="1:10" ht="24">
      <c r="A9" s="89" t="s">
        <v>191</v>
      </c>
      <c r="B9" s="79"/>
      <c r="C9" s="79"/>
      <c r="D9" s="79"/>
      <c r="E9" s="73"/>
      <c r="F9" s="98"/>
      <c r="G9" s="98"/>
      <c r="H9" s="98">
        <v>398</v>
      </c>
      <c r="I9" s="98"/>
      <c r="J9" s="98">
        <v>398</v>
      </c>
    </row>
    <row r="10" spans="1:10" ht="24">
      <c r="A10" s="264" t="s">
        <v>12</v>
      </c>
      <c r="B10" s="265"/>
      <c r="C10" s="265"/>
      <c r="D10" s="265"/>
      <c r="E10" s="265"/>
      <c r="F10" s="99"/>
      <c r="G10" s="99"/>
      <c r="H10" s="99">
        <f>ROUNDDOWN(SUM(H6:H9),2)</f>
        <v>2255.25</v>
      </c>
      <c r="I10" s="99"/>
      <c r="J10" s="99">
        <f>ROUNDDOWN(SUM(J6:J9),2)</f>
        <v>2044.66</v>
      </c>
    </row>
    <row r="11" spans="1:10" ht="24">
      <c r="A11" s="73"/>
      <c r="B11" s="73"/>
      <c r="C11" s="73"/>
      <c r="D11" s="73"/>
      <c r="E11" s="73"/>
      <c r="F11" s="85"/>
      <c r="G11" s="85"/>
      <c r="H11" s="85"/>
      <c r="I11" s="85"/>
      <c r="J11" s="85"/>
    </row>
    <row r="12" spans="1:10" ht="24">
      <c r="A12" s="73"/>
      <c r="B12" s="73"/>
      <c r="C12" s="73"/>
      <c r="D12" s="73"/>
      <c r="E12" s="73"/>
      <c r="F12" s="85"/>
      <c r="G12" s="85"/>
      <c r="H12" s="85"/>
      <c r="I12" s="85"/>
      <c r="J12" s="85"/>
    </row>
    <row r="13" spans="1:10" ht="24">
      <c r="A13" s="73"/>
      <c r="B13" s="73"/>
      <c r="C13" s="73"/>
      <c r="D13" s="73"/>
      <c r="E13" s="73"/>
      <c r="F13" s="85"/>
      <c r="G13" s="85"/>
      <c r="H13" s="85"/>
      <c r="I13" s="85"/>
      <c r="J13" s="85"/>
    </row>
    <row r="14" spans="1:10" ht="24">
      <c r="A14" s="73"/>
      <c r="B14" s="73"/>
      <c r="C14" s="73"/>
      <c r="D14" s="73"/>
      <c r="E14" s="73"/>
      <c r="F14" s="85"/>
      <c r="G14" s="85"/>
      <c r="H14" s="85"/>
      <c r="I14" s="85"/>
      <c r="J14" s="85"/>
    </row>
    <row r="15" spans="1:10" ht="24">
      <c r="A15" s="73"/>
      <c r="B15" s="73"/>
      <c r="C15" s="73"/>
      <c r="D15" s="73"/>
      <c r="E15" s="73"/>
      <c r="F15" s="85"/>
      <c r="G15" s="85"/>
      <c r="H15" s="85"/>
      <c r="I15" s="85"/>
      <c r="J15" s="85"/>
    </row>
    <row r="16" spans="1:10" ht="24">
      <c r="A16" s="73"/>
      <c r="B16" s="73"/>
      <c r="C16" s="73"/>
      <c r="D16" s="73"/>
      <c r="E16" s="73"/>
      <c r="F16" s="85"/>
      <c r="G16" s="85"/>
      <c r="H16" s="85"/>
      <c r="I16" s="85"/>
      <c r="J16" s="85"/>
    </row>
    <row r="17" spans="1:10" ht="24">
      <c r="A17" s="73"/>
      <c r="B17" s="73"/>
      <c r="C17" s="73"/>
      <c r="D17" s="73"/>
      <c r="E17" s="73"/>
      <c r="F17" s="85"/>
      <c r="G17" s="85"/>
      <c r="H17" s="85"/>
      <c r="I17" s="85"/>
      <c r="J17" s="85"/>
    </row>
    <row r="18" spans="1:10" ht="24">
      <c r="A18" s="73"/>
      <c r="B18" s="73"/>
      <c r="C18" s="73"/>
      <c r="D18" s="73"/>
      <c r="E18" s="73"/>
      <c r="F18" s="85"/>
      <c r="G18" s="85"/>
      <c r="H18" s="85"/>
      <c r="I18" s="85"/>
      <c r="J18" s="85"/>
    </row>
    <row r="19" spans="1:10" ht="24">
      <c r="A19" s="73"/>
      <c r="B19" s="73"/>
      <c r="C19" s="73"/>
      <c r="D19" s="73"/>
      <c r="E19" s="73"/>
      <c r="F19" s="85"/>
      <c r="G19" s="85"/>
      <c r="H19" s="85"/>
      <c r="I19" s="85"/>
      <c r="J19" s="85"/>
    </row>
    <row r="20" spans="1:10" ht="24">
      <c r="A20" s="73"/>
      <c r="B20" s="73"/>
      <c r="C20" s="73"/>
      <c r="D20" s="73"/>
      <c r="E20" s="73"/>
      <c r="F20" s="85"/>
      <c r="G20" s="85"/>
      <c r="H20" s="85"/>
      <c r="I20" s="85"/>
      <c r="J20" s="85"/>
    </row>
    <row r="21" spans="1:10" ht="24">
      <c r="A21" s="73"/>
      <c r="B21" s="73"/>
      <c r="C21" s="73"/>
      <c r="D21" s="73"/>
      <c r="E21" s="73"/>
      <c r="F21" s="85"/>
      <c r="G21" s="85"/>
      <c r="H21" s="85"/>
      <c r="I21" s="85"/>
      <c r="J21" s="85"/>
    </row>
    <row r="22" spans="1:10" ht="24">
      <c r="A22" s="73"/>
      <c r="B22" s="73"/>
      <c r="C22" s="73"/>
      <c r="D22" s="73"/>
      <c r="E22" s="73"/>
      <c r="F22" s="85"/>
      <c r="G22" s="85"/>
      <c r="H22" s="85"/>
      <c r="I22" s="85"/>
      <c r="J22" s="85"/>
    </row>
    <row r="23" spans="1:10" ht="24">
      <c r="A23" s="73"/>
      <c r="B23" s="73"/>
      <c r="C23" s="73"/>
      <c r="D23" s="73"/>
      <c r="E23" s="73"/>
      <c r="F23" s="85"/>
      <c r="G23" s="85"/>
      <c r="H23" s="85"/>
      <c r="I23" s="85"/>
      <c r="J23" s="85"/>
    </row>
    <row r="24" spans="1:10" ht="24">
      <c r="A24" s="73"/>
      <c r="B24" s="73"/>
      <c r="C24" s="73"/>
      <c r="D24" s="73"/>
      <c r="E24" s="73"/>
      <c r="F24" s="85"/>
      <c r="G24" s="85"/>
      <c r="H24" s="85"/>
      <c r="I24" s="85"/>
      <c r="J24" s="85"/>
    </row>
    <row r="25" spans="1:10" ht="24">
      <c r="A25" s="73"/>
      <c r="B25" s="73"/>
      <c r="C25" s="73"/>
      <c r="D25" s="73"/>
      <c r="E25" s="73"/>
      <c r="F25" s="85"/>
      <c r="G25" s="85"/>
      <c r="H25" s="85"/>
      <c r="I25" s="85"/>
      <c r="J25" s="85"/>
    </row>
    <row r="26" spans="1:10" ht="24">
      <c r="A26" s="73"/>
      <c r="B26" s="73"/>
      <c r="C26" s="73"/>
      <c r="D26" s="73"/>
      <c r="E26" s="73"/>
      <c r="F26" s="85"/>
      <c r="G26" s="85"/>
      <c r="H26" s="85"/>
      <c r="I26" s="85"/>
      <c r="J26" s="85"/>
    </row>
    <row r="27" spans="1:10" ht="24">
      <c r="A27" s="73"/>
      <c r="B27" s="73"/>
      <c r="C27" s="73"/>
      <c r="D27" s="73"/>
      <c r="E27" s="73"/>
      <c r="F27" s="85"/>
      <c r="G27" s="85"/>
      <c r="H27" s="85"/>
      <c r="I27" s="85"/>
      <c r="J27" s="85"/>
    </row>
    <row r="28" spans="1:10" ht="24">
      <c r="A28" s="73"/>
      <c r="B28" s="73"/>
      <c r="C28" s="73"/>
      <c r="D28" s="73"/>
      <c r="E28" s="73"/>
      <c r="F28" s="85"/>
      <c r="G28" s="85"/>
      <c r="H28" s="85"/>
      <c r="I28" s="85"/>
      <c r="J28" s="85"/>
    </row>
    <row r="29" spans="1:10" ht="24">
      <c r="A29" s="73"/>
      <c r="B29" s="73"/>
      <c r="C29" s="73"/>
      <c r="D29" s="73"/>
      <c r="E29" s="73"/>
      <c r="F29" s="85"/>
      <c r="G29" s="85"/>
      <c r="H29" s="85"/>
      <c r="I29" s="85"/>
      <c r="J29" s="85"/>
    </row>
    <row r="30" spans="1:10" ht="24">
      <c r="A30" s="73"/>
      <c r="B30" s="73"/>
      <c r="C30" s="73"/>
      <c r="D30" s="73"/>
      <c r="E30" s="73"/>
      <c r="F30" s="85"/>
      <c r="G30" s="85"/>
      <c r="H30" s="85"/>
      <c r="I30" s="85"/>
      <c r="J30" s="85"/>
    </row>
    <row r="31" spans="1:10" ht="24">
      <c r="A31" s="73"/>
      <c r="B31" s="73"/>
      <c r="C31" s="73"/>
      <c r="D31" s="73"/>
      <c r="E31" s="73"/>
      <c r="F31" s="85"/>
      <c r="G31" s="85"/>
      <c r="H31" s="85"/>
      <c r="I31" s="85"/>
      <c r="J31" s="85"/>
    </row>
    <row r="32" spans="1:10" ht="24">
      <c r="A32" s="73"/>
      <c r="B32" s="73"/>
      <c r="C32" s="73"/>
      <c r="D32" s="73"/>
      <c r="E32" s="73"/>
      <c r="F32" s="85"/>
      <c r="G32" s="85"/>
      <c r="H32" s="85"/>
      <c r="I32" s="85"/>
      <c r="J32" s="85"/>
    </row>
    <row r="33" spans="1:10" ht="24">
      <c r="A33" s="73"/>
      <c r="B33" s="73"/>
      <c r="C33" s="73"/>
      <c r="D33" s="73"/>
      <c r="E33" s="73"/>
      <c r="F33" s="85"/>
      <c r="G33" s="85"/>
      <c r="H33" s="85"/>
      <c r="I33" s="85"/>
      <c r="J33" s="85"/>
    </row>
    <row r="34" spans="1:10" ht="24">
      <c r="A34" s="73"/>
      <c r="B34" s="73"/>
      <c r="C34" s="73"/>
      <c r="D34" s="73"/>
      <c r="E34" s="73"/>
      <c r="F34" s="85"/>
      <c r="G34" s="85"/>
      <c r="H34" s="85"/>
      <c r="I34" s="85"/>
      <c r="J34" s="85"/>
    </row>
    <row r="35" spans="1:10" ht="24">
      <c r="A35" s="73"/>
      <c r="B35" s="73"/>
      <c r="C35" s="73"/>
      <c r="D35" s="73"/>
      <c r="E35" s="73"/>
      <c r="F35" s="85"/>
      <c r="G35" s="85"/>
      <c r="H35" s="85"/>
      <c r="I35" s="85"/>
      <c r="J35" s="85"/>
    </row>
    <row r="36" spans="1:10" ht="24">
      <c r="A36" s="73"/>
      <c r="B36" s="73"/>
      <c r="C36" s="73"/>
      <c r="D36" s="73"/>
      <c r="E36" s="73"/>
      <c r="F36" s="85"/>
      <c r="G36" s="85"/>
      <c r="H36" s="85"/>
      <c r="I36" s="85"/>
      <c r="J36" s="85"/>
    </row>
    <row r="37" spans="1:10" ht="24">
      <c r="A37" s="73"/>
      <c r="B37" s="73"/>
      <c r="C37" s="73"/>
      <c r="D37" s="73"/>
      <c r="E37" s="73"/>
      <c r="F37" s="85"/>
      <c r="G37" s="85"/>
      <c r="H37" s="85"/>
      <c r="I37" s="85"/>
      <c r="J37" s="85"/>
    </row>
    <row r="38" spans="1:10" ht="24">
      <c r="A38" s="73"/>
      <c r="B38" s="73"/>
      <c r="C38" s="73"/>
      <c r="D38" s="73"/>
      <c r="E38" s="73"/>
      <c r="F38" s="85"/>
      <c r="G38" s="85"/>
      <c r="H38" s="85"/>
      <c r="I38" s="85"/>
      <c r="J38" s="85"/>
    </row>
    <row r="39" spans="1:10" ht="24">
      <c r="A39" s="73"/>
      <c r="B39" s="73"/>
      <c r="C39" s="73"/>
      <c r="D39" s="73"/>
      <c r="E39" s="73"/>
      <c r="F39" s="85"/>
      <c r="G39" s="85"/>
      <c r="H39" s="85"/>
      <c r="I39" s="85"/>
      <c r="J39" s="85"/>
    </row>
    <row r="40" spans="1:10" ht="24">
      <c r="A40" s="73"/>
      <c r="B40" s="73"/>
      <c r="C40" s="73"/>
      <c r="D40" s="73"/>
      <c r="E40" s="73"/>
      <c r="F40" s="85"/>
      <c r="G40" s="85"/>
      <c r="H40" s="85"/>
      <c r="I40" s="85"/>
      <c r="J40" s="85"/>
    </row>
    <row r="41" spans="1:10" ht="24">
      <c r="A41" s="73"/>
      <c r="B41" s="73"/>
      <c r="C41" s="73"/>
      <c r="D41" s="73"/>
      <c r="E41" s="73"/>
      <c r="F41" s="85"/>
      <c r="G41" s="85"/>
      <c r="H41" s="85"/>
      <c r="I41" s="85"/>
      <c r="J41" s="85"/>
    </row>
    <row r="42" spans="1:10" ht="24">
      <c r="A42" s="73"/>
      <c r="B42" s="73"/>
      <c r="C42" s="73"/>
      <c r="D42" s="73"/>
      <c r="E42" s="73"/>
      <c r="F42" s="85"/>
      <c r="G42" s="85"/>
      <c r="H42" s="85"/>
      <c r="I42" s="85"/>
      <c r="J42" s="85"/>
    </row>
    <row r="43" spans="1:10" ht="24">
      <c r="A43" s="73"/>
      <c r="B43" s="73"/>
      <c r="C43" s="73"/>
      <c r="D43" s="73"/>
      <c r="E43" s="73"/>
      <c r="F43" s="85"/>
      <c r="G43" s="85"/>
      <c r="H43" s="85"/>
      <c r="I43" s="85"/>
      <c r="J43" s="85"/>
    </row>
    <row r="44" spans="1:10" ht="24">
      <c r="A44" s="73"/>
      <c r="B44" s="73"/>
      <c r="C44" s="73"/>
      <c r="D44" s="73"/>
      <c r="E44" s="73"/>
      <c r="F44" s="85"/>
      <c r="G44" s="85"/>
      <c r="H44" s="85"/>
      <c r="I44" s="85"/>
      <c r="J44" s="85"/>
    </row>
    <row r="45" spans="1:10" ht="24">
      <c r="A45" s="16" t="s">
        <v>190</v>
      </c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24">
      <c r="A46" s="266" t="s">
        <v>118</v>
      </c>
      <c r="B46" s="267"/>
      <c r="C46" s="267"/>
      <c r="D46" s="267"/>
      <c r="E46" s="267"/>
      <c r="F46" s="266" t="s">
        <v>133</v>
      </c>
      <c r="G46" s="262" t="s">
        <v>134</v>
      </c>
      <c r="H46" s="262" t="s">
        <v>135</v>
      </c>
      <c r="I46" s="262" t="s">
        <v>136</v>
      </c>
      <c r="J46" s="262" t="s">
        <v>137</v>
      </c>
    </row>
    <row r="47" spans="1:10" ht="24">
      <c r="A47" s="268"/>
      <c r="B47" s="269"/>
      <c r="C47" s="269"/>
      <c r="D47" s="269"/>
      <c r="E47" s="269"/>
      <c r="F47" s="268"/>
      <c r="G47" s="263"/>
      <c r="H47" s="263"/>
      <c r="I47" s="263"/>
      <c r="J47" s="263"/>
    </row>
    <row r="48" spans="1:10" ht="24">
      <c r="A48" s="89" t="s">
        <v>138</v>
      </c>
      <c r="B48" s="79"/>
      <c r="C48" s="73"/>
      <c r="D48" s="73"/>
      <c r="F48" s="175"/>
      <c r="G48" s="174"/>
      <c r="H48" s="92">
        <f>ค่าวัสดุและดำเนินการ!K11</f>
        <v>2200</v>
      </c>
      <c r="I48" s="174"/>
      <c r="J48" s="174"/>
    </row>
    <row r="49" spans="1:10" ht="24">
      <c r="A49" s="94" t="s">
        <v>139</v>
      </c>
      <c r="B49" s="95"/>
      <c r="C49" s="95"/>
      <c r="D49" s="95"/>
      <c r="E49" s="96"/>
      <c r="F49" s="97"/>
      <c r="G49" s="97"/>
      <c r="H49" s="98"/>
      <c r="I49" s="98"/>
      <c r="J49" s="98"/>
    </row>
    <row r="50" spans="1:10" ht="24">
      <c r="A50" s="264" t="s">
        <v>12</v>
      </c>
      <c r="B50" s="265"/>
      <c r="C50" s="265"/>
      <c r="D50" s="265"/>
      <c r="E50" s="265"/>
      <c r="F50" s="91">
        <f>ROUND(SUM(F48:F49),2)</f>
        <v>0</v>
      </c>
      <c r="G50" s="91">
        <f>ROUND(SUM(G48:G49),2)</f>
        <v>0</v>
      </c>
      <c r="H50" s="91">
        <f>ROUND(SUM(H48:H49),2)</f>
        <v>2200</v>
      </c>
      <c r="I50" s="91">
        <f>ROUND(SUM(I48:I49),2)</f>
        <v>0</v>
      </c>
      <c r="J50" s="99">
        <f>ROUND(SUM(J48:J49),2)</f>
        <v>0</v>
      </c>
    </row>
  </sheetData>
  <sheetProtection/>
  <mergeCells count="15">
    <mergeCell ref="J3:J4"/>
    <mergeCell ref="A3:E4"/>
    <mergeCell ref="F3:F4"/>
    <mergeCell ref="G3:G4"/>
    <mergeCell ref="H3:H4"/>
    <mergeCell ref="I3:I4"/>
    <mergeCell ref="I46:I47"/>
    <mergeCell ref="J46:J47"/>
    <mergeCell ref="A50:E50"/>
    <mergeCell ref="A5:E5"/>
    <mergeCell ref="A10:E10"/>
    <mergeCell ref="A46:E47"/>
    <mergeCell ref="F46:F47"/>
    <mergeCell ref="G46:G47"/>
    <mergeCell ref="H46:H47"/>
  </mergeCells>
  <printOptions horizontalCentered="1"/>
  <pageMargins left="0.5905511811023623" right="0.1968503937007874" top="0.3937007874015748" bottom="0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R7" sqref="R7"/>
    </sheetView>
  </sheetViews>
  <sheetFormatPr defaultColWidth="9.140625" defaultRowHeight="15"/>
  <cols>
    <col min="1" max="1" width="2.7109375" style="52" customWidth="1"/>
    <col min="2" max="5" width="9.00390625" style="1" customWidth="1"/>
    <col min="6" max="6" width="2.7109375" style="1" customWidth="1"/>
    <col min="7" max="7" width="7.57421875" style="1" customWidth="1"/>
    <col min="8" max="8" width="7.28125" style="1" customWidth="1"/>
    <col min="9" max="9" width="4.421875" style="1" customWidth="1"/>
    <col min="10" max="10" width="4.7109375" style="1" customWidth="1"/>
    <col min="11" max="11" width="6.7109375" style="1" customWidth="1"/>
    <col min="12" max="12" width="1.57421875" style="1" customWidth="1"/>
    <col min="13" max="13" width="4.00390625" style="1" customWidth="1"/>
    <col min="14" max="14" width="10.57421875" style="1" customWidth="1"/>
    <col min="15" max="16384" width="9.00390625" style="1" customWidth="1"/>
  </cols>
  <sheetData>
    <row r="1" spans="1:15" ht="24">
      <c r="A1" s="59">
        <v>1</v>
      </c>
      <c r="B1" s="55" t="s">
        <v>84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8"/>
      <c r="O1" s="14"/>
    </row>
    <row r="2" spans="1:15" ht="24">
      <c r="A2" s="60"/>
      <c r="B2" s="14" t="s">
        <v>212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8"/>
      <c r="O2" s="14"/>
    </row>
    <row r="3" spans="1:15" ht="24">
      <c r="A3" s="60"/>
      <c r="B3" s="14" t="s">
        <v>210</v>
      </c>
      <c r="C3" s="14"/>
      <c r="D3" s="14"/>
      <c r="E3" s="14"/>
      <c r="F3" s="270">
        <v>22.3</v>
      </c>
      <c r="G3" s="270"/>
      <c r="H3" s="53" t="s">
        <v>85</v>
      </c>
      <c r="I3" s="53" t="s">
        <v>86</v>
      </c>
      <c r="J3" s="270">
        <f>ROUND(ค่าวัสดุและดำเนินการ!K14/1000,2)</f>
        <v>24.1</v>
      </c>
      <c r="K3" s="270"/>
      <c r="L3" s="14"/>
      <c r="M3" s="53" t="s">
        <v>77</v>
      </c>
      <c r="N3" s="54">
        <f>ROUND(J3*F3,2)</f>
        <v>537.43</v>
      </c>
      <c r="O3" s="14" t="s">
        <v>83</v>
      </c>
    </row>
    <row r="4" spans="1:17" ht="24">
      <c r="A4" s="60"/>
      <c r="B4" s="14" t="s">
        <v>87</v>
      </c>
      <c r="C4" s="14"/>
      <c r="D4" s="14"/>
      <c r="E4" s="14"/>
      <c r="F4" s="270">
        <v>20</v>
      </c>
      <c r="G4" s="270"/>
      <c r="H4" s="53" t="s">
        <v>88</v>
      </c>
      <c r="I4" s="53" t="s">
        <v>86</v>
      </c>
      <c r="J4" s="270">
        <f>ค่าวัสดุและดำเนินการ!K29</f>
        <v>3.79</v>
      </c>
      <c r="K4" s="270"/>
      <c r="L4" s="14"/>
      <c r="M4" s="53" t="s">
        <v>77</v>
      </c>
      <c r="N4" s="54">
        <f aca="true" t="shared" si="0" ref="N4:N9">ROUND(J4*F4,2)</f>
        <v>75.8</v>
      </c>
      <c r="O4" s="14" t="s">
        <v>83</v>
      </c>
      <c r="Q4" s="14"/>
    </row>
    <row r="5" spans="1:17" ht="24">
      <c r="A5" s="60"/>
      <c r="B5" s="14" t="s">
        <v>213</v>
      </c>
      <c r="C5" s="14"/>
      <c r="D5" s="14"/>
      <c r="E5" s="14"/>
      <c r="F5" s="270">
        <v>1.5</v>
      </c>
      <c r="G5" s="270"/>
      <c r="H5" s="53" t="s">
        <v>22</v>
      </c>
      <c r="I5" s="53" t="s">
        <v>86</v>
      </c>
      <c r="J5" s="270">
        <f>ค่าวัสดุและดำเนินการ!K30</f>
        <v>25</v>
      </c>
      <c r="K5" s="270"/>
      <c r="L5" s="14"/>
      <c r="M5" s="53" t="s">
        <v>77</v>
      </c>
      <c r="N5" s="54">
        <f t="shared" si="0"/>
        <v>37.5</v>
      </c>
      <c r="O5" s="14" t="s">
        <v>83</v>
      </c>
      <c r="Q5" s="14"/>
    </row>
    <row r="6" spans="1:17" ht="24">
      <c r="A6" s="60"/>
      <c r="B6" s="14" t="s">
        <v>89</v>
      </c>
      <c r="C6" s="14"/>
      <c r="D6" s="14"/>
      <c r="E6" s="14"/>
      <c r="F6" s="270">
        <v>12.5</v>
      </c>
      <c r="G6" s="270"/>
      <c r="H6" s="53" t="s">
        <v>90</v>
      </c>
      <c r="I6" s="53" t="s">
        <v>86</v>
      </c>
      <c r="J6" s="270">
        <f>ค่าวัสดุและดำเนินการ!K31</f>
        <v>30</v>
      </c>
      <c r="K6" s="270"/>
      <c r="L6" s="14"/>
      <c r="M6" s="53" t="s">
        <v>77</v>
      </c>
      <c r="N6" s="54">
        <f t="shared" si="0"/>
        <v>375</v>
      </c>
      <c r="O6" s="14" t="s">
        <v>83</v>
      </c>
      <c r="Q6" s="14"/>
    </row>
    <row r="7" spans="1:15" ht="24">
      <c r="A7" s="60"/>
      <c r="B7" s="14" t="s">
        <v>91</v>
      </c>
      <c r="C7" s="14"/>
      <c r="D7" s="14"/>
      <c r="E7" s="14"/>
      <c r="F7" s="270">
        <v>10</v>
      </c>
      <c r="G7" s="270"/>
      <c r="H7" s="53" t="s">
        <v>92</v>
      </c>
      <c r="I7" s="53" t="s">
        <v>86</v>
      </c>
      <c r="J7" s="271">
        <v>13.87</v>
      </c>
      <c r="K7" s="271"/>
      <c r="L7" s="14"/>
      <c r="M7" s="53" t="s">
        <v>77</v>
      </c>
      <c r="N7" s="54">
        <f t="shared" si="0"/>
        <v>138.7</v>
      </c>
      <c r="O7" s="14" t="s">
        <v>83</v>
      </c>
    </row>
    <row r="8" spans="1:15" ht="24">
      <c r="A8" s="60"/>
      <c r="B8" s="14" t="s">
        <v>93</v>
      </c>
      <c r="C8" s="14"/>
      <c r="D8" s="14"/>
      <c r="E8" s="14"/>
      <c r="F8" s="270">
        <v>10</v>
      </c>
      <c r="G8" s="270"/>
      <c r="H8" s="53" t="s">
        <v>92</v>
      </c>
      <c r="I8" s="53" t="s">
        <v>86</v>
      </c>
      <c r="J8" s="270">
        <f>ค่าวัสดุและดำเนินการ!K32</f>
        <v>0</v>
      </c>
      <c r="K8" s="270"/>
      <c r="L8" s="14"/>
      <c r="M8" s="53" t="s">
        <v>77</v>
      </c>
      <c r="N8" s="54">
        <f t="shared" si="0"/>
        <v>0</v>
      </c>
      <c r="O8" s="14" t="s">
        <v>83</v>
      </c>
    </row>
    <row r="9" spans="1:15" ht="24">
      <c r="A9" s="60"/>
      <c r="B9" s="14" t="s">
        <v>94</v>
      </c>
      <c r="C9" s="14"/>
      <c r="D9" s="14"/>
      <c r="E9" s="14"/>
      <c r="F9" s="270">
        <v>1.5</v>
      </c>
      <c r="G9" s="270"/>
      <c r="H9" s="53" t="s">
        <v>22</v>
      </c>
      <c r="I9" s="53" t="s">
        <v>86</v>
      </c>
      <c r="J9" s="270">
        <f>แบบหล่อคอนกรีต!G24</f>
        <v>309</v>
      </c>
      <c r="K9" s="270"/>
      <c r="L9" s="14"/>
      <c r="M9" s="53" t="s">
        <v>77</v>
      </c>
      <c r="N9" s="54">
        <f t="shared" si="0"/>
        <v>463.5</v>
      </c>
      <c r="O9" s="14" t="s">
        <v>83</v>
      </c>
    </row>
    <row r="10" spans="1:15" ht="24">
      <c r="A10" s="60"/>
      <c r="B10" s="14" t="s">
        <v>79</v>
      </c>
      <c r="C10" s="14"/>
      <c r="D10" s="14"/>
      <c r="E10" s="14"/>
      <c r="F10" s="61"/>
      <c r="G10" s="61"/>
      <c r="H10" s="14"/>
      <c r="I10" s="14"/>
      <c r="J10" s="62"/>
      <c r="K10" s="62"/>
      <c r="L10" s="14"/>
      <c r="M10" s="53" t="s">
        <v>77</v>
      </c>
      <c r="N10" s="63">
        <f>ROUND(SUM(N3:N9),2)</f>
        <v>1627.93</v>
      </c>
      <c r="O10" s="14" t="s">
        <v>83</v>
      </c>
    </row>
    <row r="11" spans="1:15" ht="24.75" thickBot="1">
      <c r="A11" s="60"/>
      <c r="B11" s="56" t="s">
        <v>80</v>
      </c>
      <c r="C11" s="14"/>
      <c r="D11" s="14"/>
      <c r="E11" s="14"/>
      <c r="F11" s="272">
        <f>N10</f>
        <v>1627.93</v>
      </c>
      <c r="G11" s="272"/>
      <c r="H11" s="14" t="s">
        <v>214</v>
      </c>
      <c r="I11" s="222">
        <v>10</v>
      </c>
      <c r="J11" s="222"/>
      <c r="K11" s="62"/>
      <c r="M11" s="53" t="s">
        <v>77</v>
      </c>
      <c r="N11" s="57">
        <f>ROUNDDOWN(N10/10,0)</f>
        <v>162</v>
      </c>
      <c r="O11" s="14" t="s">
        <v>83</v>
      </c>
    </row>
    <row r="12" spans="1:15" ht="24.75" thickTop="1">
      <c r="A12" s="60" t="s">
        <v>95</v>
      </c>
      <c r="B12" s="14"/>
      <c r="C12" s="14"/>
      <c r="D12" s="14"/>
      <c r="E12" s="14"/>
      <c r="F12" s="64"/>
      <c r="G12" s="64"/>
      <c r="H12" s="14"/>
      <c r="I12" s="14"/>
      <c r="J12" s="62"/>
      <c r="K12" s="62"/>
      <c r="L12" s="14"/>
      <c r="M12" s="14"/>
      <c r="N12" s="58"/>
      <c r="O12" s="14"/>
    </row>
    <row r="13" spans="1:15" ht="24">
      <c r="A13" s="59">
        <v>2</v>
      </c>
      <c r="B13" s="55" t="s">
        <v>96</v>
      </c>
      <c r="C13" s="14"/>
      <c r="D13" s="14"/>
      <c r="E13" s="14"/>
      <c r="F13" s="64"/>
      <c r="G13" s="64"/>
      <c r="H13" s="14"/>
      <c r="I13" s="14"/>
      <c r="J13" s="62"/>
      <c r="K13" s="62"/>
      <c r="L13" s="14"/>
      <c r="M13" s="14"/>
      <c r="N13" s="58"/>
      <c r="O13" s="14"/>
    </row>
    <row r="14" spans="1:15" ht="24">
      <c r="A14" s="60"/>
      <c r="B14" s="14" t="s">
        <v>212</v>
      </c>
      <c r="C14" s="14"/>
      <c r="D14" s="14"/>
      <c r="E14" s="14"/>
      <c r="F14" s="64"/>
      <c r="G14" s="64"/>
      <c r="H14" s="14"/>
      <c r="I14" s="14"/>
      <c r="J14" s="62"/>
      <c r="K14" s="62"/>
      <c r="L14" s="14"/>
      <c r="M14" s="14"/>
      <c r="N14" s="58"/>
      <c r="O14" s="14"/>
    </row>
    <row r="15" spans="1:15" ht="24">
      <c r="A15" s="60"/>
      <c r="B15" s="14" t="s">
        <v>215</v>
      </c>
      <c r="C15" s="14"/>
      <c r="D15" s="14"/>
      <c r="E15" s="14"/>
      <c r="F15" s="270">
        <v>13.9</v>
      </c>
      <c r="G15" s="270"/>
      <c r="H15" s="53" t="s">
        <v>85</v>
      </c>
      <c r="I15" s="53" t="s">
        <v>86</v>
      </c>
      <c r="J15" s="270">
        <f>ROUND(ค่าวัสดุและดำเนินการ!K13/1000,2)</f>
        <v>24.12</v>
      </c>
      <c r="K15" s="270"/>
      <c r="L15" s="14"/>
      <c r="M15" s="53" t="s">
        <v>77</v>
      </c>
      <c r="N15" s="54">
        <f>ROUND(J15*F15,2)</f>
        <v>335.27</v>
      </c>
      <c r="O15" s="14" t="s">
        <v>83</v>
      </c>
    </row>
    <row r="16" spans="1:15" ht="24">
      <c r="A16" s="60"/>
      <c r="B16" s="14" t="s">
        <v>97</v>
      </c>
      <c r="C16" s="14"/>
      <c r="D16" s="14"/>
      <c r="E16" s="14"/>
      <c r="F16" s="270">
        <v>10</v>
      </c>
      <c r="G16" s="270"/>
      <c r="H16" s="53" t="s">
        <v>92</v>
      </c>
      <c r="I16" s="53" t="s">
        <v>86</v>
      </c>
      <c r="J16" s="271">
        <v>13.87</v>
      </c>
      <c r="K16" s="271"/>
      <c r="L16" s="14"/>
      <c r="M16" s="53" t="s">
        <v>77</v>
      </c>
      <c r="N16" s="54">
        <f>ROUND(J16*F16,2)</f>
        <v>138.7</v>
      </c>
      <c r="O16" s="14" t="s">
        <v>83</v>
      </c>
    </row>
    <row r="17" spans="1:15" ht="24">
      <c r="A17" s="60"/>
      <c r="B17" s="14" t="s">
        <v>98</v>
      </c>
      <c r="C17" s="14"/>
      <c r="D17" s="14"/>
      <c r="E17" s="14"/>
      <c r="F17" s="270">
        <v>20</v>
      </c>
      <c r="G17" s="270"/>
      <c r="H17" s="53" t="s">
        <v>88</v>
      </c>
      <c r="I17" s="53" t="s">
        <v>86</v>
      </c>
      <c r="J17" s="271">
        <v>0</v>
      </c>
      <c r="K17" s="271"/>
      <c r="L17" s="14"/>
      <c r="M17" s="53" t="s">
        <v>77</v>
      </c>
      <c r="N17" s="54">
        <f>ROUND(J17*F17,2)</f>
        <v>0</v>
      </c>
      <c r="O17" s="14" t="s">
        <v>83</v>
      </c>
    </row>
    <row r="18" spans="1:15" ht="24">
      <c r="A18" s="60"/>
      <c r="B18" s="14" t="s">
        <v>99</v>
      </c>
      <c r="C18" s="14"/>
      <c r="D18" s="14"/>
      <c r="E18" s="14"/>
      <c r="F18" s="270">
        <v>4</v>
      </c>
      <c r="G18" s="270"/>
      <c r="H18" s="53" t="s">
        <v>90</v>
      </c>
      <c r="I18" s="53" t="s">
        <v>86</v>
      </c>
      <c r="J18" s="270">
        <f>ค่าวัสดุและดำเนินการ!K31</f>
        <v>30</v>
      </c>
      <c r="K18" s="270"/>
      <c r="L18" s="14"/>
      <c r="M18" s="53" t="s">
        <v>77</v>
      </c>
      <c r="N18" s="54">
        <f>ROUND(J18*F18,2)</f>
        <v>120</v>
      </c>
      <c r="O18" s="14" t="s">
        <v>83</v>
      </c>
    </row>
    <row r="19" spans="1:15" ht="24">
      <c r="A19" s="60"/>
      <c r="B19" s="14" t="s">
        <v>93</v>
      </c>
      <c r="C19" s="14"/>
      <c r="D19" s="14"/>
      <c r="E19" s="14"/>
      <c r="F19" s="270">
        <v>10</v>
      </c>
      <c r="G19" s="270"/>
      <c r="H19" s="53" t="s">
        <v>92</v>
      </c>
      <c r="I19" s="53" t="s">
        <v>86</v>
      </c>
      <c r="J19" s="270">
        <f>ค่าวัสดุและดำเนินการ!K32</f>
        <v>0</v>
      </c>
      <c r="K19" s="270"/>
      <c r="L19" s="14"/>
      <c r="M19" s="53" t="s">
        <v>77</v>
      </c>
      <c r="N19" s="54">
        <f>ROUND(J19*F19,2)</f>
        <v>0</v>
      </c>
      <c r="O19" s="14" t="s">
        <v>83</v>
      </c>
    </row>
    <row r="20" spans="1:15" ht="24">
      <c r="A20" s="60"/>
      <c r="B20" s="14" t="s">
        <v>79</v>
      </c>
      <c r="C20" s="14"/>
      <c r="D20" s="14"/>
      <c r="E20" s="14"/>
      <c r="F20" s="61"/>
      <c r="G20" s="61"/>
      <c r="H20" s="14"/>
      <c r="I20" s="14"/>
      <c r="J20" s="62"/>
      <c r="K20" s="62"/>
      <c r="L20" s="14"/>
      <c r="M20" s="53" t="s">
        <v>77</v>
      </c>
      <c r="N20" s="63">
        <f>ROUND(SUM(N15:N19),2)</f>
        <v>593.97</v>
      </c>
      <c r="O20" s="14" t="s">
        <v>83</v>
      </c>
    </row>
    <row r="21" spans="1:15" ht="24.75" thickBot="1">
      <c r="A21" s="60"/>
      <c r="B21" s="18" t="s">
        <v>80</v>
      </c>
      <c r="C21" s="14"/>
      <c r="D21" s="14"/>
      <c r="E21" s="14"/>
      <c r="F21" s="272">
        <f>N20</f>
        <v>593.97</v>
      </c>
      <c r="G21" s="272"/>
      <c r="H21" s="14" t="s">
        <v>214</v>
      </c>
      <c r="I21" s="222">
        <v>10</v>
      </c>
      <c r="J21" s="222"/>
      <c r="K21" s="62"/>
      <c r="M21" s="207" t="s">
        <v>77</v>
      </c>
      <c r="N21" s="57">
        <f>ROUNDDOWN(N20/10,0)</f>
        <v>59</v>
      </c>
      <c r="O21" s="14" t="s">
        <v>83</v>
      </c>
    </row>
    <row r="22" spans="1:15" ht="24.75" thickTop="1">
      <c r="A22" s="60" t="s">
        <v>95</v>
      </c>
      <c r="B22" s="14"/>
      <c r="C22" s="14"/>
      <c r="D22" s="14"/>
      <c r="E22" s="14"/>
      <c r="F22" s="64"/>
      <c r="G22" s="64"/>
      <c r="H22" s="14"/>
      <c r="I22" s="14"/>
      <c r="J22" s="62"/>
      <c r="K22" s="62"/>
      <c r="L22" s="14"/>
      <c r="M22" s="14"/>
      <c r="N22" s="58"/>
      <c r="O22" s="14"/>
    </row>
    <row r="23" spans="1:15" ht="24">
      <c r="A23" s="59">
        <v>3</v>
      </c>
      <c r="B23" s="55" t="s">
        <v>100</v>
      </c>
      <c r="C23" s="14"/>
      <c r="D23" s="14"/>
      <c r="E23" s="14"/>
      <c r="F23" s="64"/>
      <c r="G23" s="64"/>
      <c r="H23" s="14"/>
      <c r="I23" s="14"/>
      <c r="J23" s="62"/>
      <c r="K23" s="62"/>
      <c r="L23" s="14"/>
      <c r="M23" s="14"/>
      <c r="N23" s="58"/>
      <c r="O23" s="14"/>
    </row>
    <row r="24" spans="1:15" ht="24">
      <c r="A24" s="59"/>
      <c r="B24" s="14" t="s">
        <v>212</v>
      </c>
      <c r="C24" s="14"/>
      <c r="D24" s="14"/>
      <c r="E24" s="14"/>
      <c r="F24" s="64"/>
      <c r="G24" s="64"/>
      <c r="H24" s="14"/>
      <c r="I24" s="14"/>
      <c r="J24" s="62"/>
      <c r="K24" s="62"/>
      <c r="L24" s="14"/>
      <c r="M24" s="14"/>
      <c r="N24" s="58"/>
      <c r="O24" s="14"/>
    </row>
    <row r="25" spans="1:15" ht="24">
      <c r="A25" s="59"/>
      <c r="B25" s="14" t="s">
        <v>211</v>
      </c>
      <c r="C25" s="14"/>
      <c r="D25" s="14"/>
      <c r="E25" s="14"/>
      <c r="F25" s="270">
        <v>15.8</v>
      </c>
      <c r="G25" s="270"/>
      <c r="H25" s="53" t="s">
        <v>85</v>
      </c>
      <c r="I25" s="53" t="s">
        <v>86</v>
      </c>
      <c r="J25" s="270">
        <f>ROUND(ค่าวัสดุและดำเนินการ!K15/1000,2)</f>
        <v>23.91</v>
      </c>
      <c r="K25" s="270"/>
      <c r="L25" s="14"/>
      <c r="M25" s="53" t="s">
        <v>77</v>
      </c>
      <c r="N25" s="54">
        <f>ROUND(J25*F25,2)</f>
        <v>377.78</v>
      </c>
      <c r="O25" s="14" t="s">
        <v>83</v>
      </c>
    </row>
    <row r="26" spans="1:15" ht="24">
      <c r="A26" s="59"/>
      <c r="B26" s="14" t="s">
        <v>97</v>
      </c>
      <c r="C26" s="14"/>
      <c r="D26" s="14"/>
      <c r="E26" s="14"/>
      <c r="F26" s="270">
        <v>10</v>
      </c>
      <c r="G26" s="270"/>
      <c r="H26" s="53" t="s">
        <v>92</v>
      </c>
      <c r="I26" s="53" t="s">
        <v>86</v>
      </c>
      <c r="J26" s="271">
        <v>13.87</v>
      </c>
      <c r="K26" s="271"/>
      <c r="L26" s="14"/>
      <c r="M26" s="53" t="s">
        <v>77</v>
      </c>
      <c r="N26" s="54">
        <f>ROUND(J26*F26,2)</f>
        <v>138.7</v>
      </c>
      <c r="O26" s="14" t="s">
        <v>83</v>
      </c>
    </row>
    <row r="27" spans="1:15" ht="24">
      <c r="A27" s="59"/>
      <c r="B27" s="14" t="s">
        <v>99</v>
      </c>
      <c r="C27" s="14"/>
      <c r="D27" s="14"/>
      <c r="E27" s="14"/>
      <c r="F27" s="270">
        <v>5</v>
      </c>
      <c r="G27" s="270"/>
      <c r="H27" s="53" t="s">
        <v>90</v>
      </c>
      <c r="I27" s="53" t="s">
        <v>86</v>
      </c>
      <c r="J27" s="270">
        <f>ค่าวัสดุและดำเนินการ!K31</f>
        <v>30</v>
      </c>
      <c r="K27" s="270"/>
      <c r="L27" s="14"/>
      <c r="M27" s="53" t="s">
        <v>77</v>
      </c>
      <c r="N27" s="54">
        <f>ROUND(J27*F27,2)</f>
        <v>150</v>
      </c>
      <c r="O27" s="14" t="s">
        <v>83</v>
      </c>
    </row>
    <row r="28" spans="1:15" ht="24">
      <c r="A28" s="59"/>
      <c r="B28" s="14" t="s">
        <v>93</v>
      </c>
      <c r="C28" s="14"/>
      <c r="D28" s="14"/>
      <c r="E28" s="14"/>
      <c r="F28" s="270">
        <v>10</v>
      </c>
      <c r="G28" s="270"/>
      <c r="H28" s="53" t="s">
        <v>92</v>
      </c>
      <c r="I28" s="53" t="s">
        <v>86</v>
      </c>
      <c r="J28" s="270">
        <f>ค่าวัสดุและดำเนินการ!K32</f>
        <v>0</v>
      </c>
      <c r="K28" s="270"/>
      <c r="L28" s="14"/>
      <c r="M28" s="53" t="s">
        <v>77</v>
      </c>
      <c r="N28" s="54">
        <f>ROUND(J28*F28,2)</f>
        <v>0</v>
      </c>
      <c r="O28" s="14" t="s">
        <v>83</v>
      </c>
    </row>
    <row r="29" spans="1:15" ht="24">
      <c r="A29" s="59"/>
      <c r="B29" s="14" t="s">
        <v>79</v>
      </c>
      <c r="C29" s="14"/>
      <c r="D29" s="14"/>
      <c r="E29" s="14"/>
      <c r="F29" s="14"/>
      <c r="G29" s="14"/>
      <c r="H29" s="14"/>
      <c r="I29" s="14"/>
      <c r="J29" s="65"/>
      <c r="K29" s="65"/>
      <c r="L29" s="14"/>
      <c r="M29" s="53" t="s">
        <v>77</v>
      </c>
      <c r="N29" s="63">
        <f>ROUND(SUM(N25:N28),2)</f>
        <v>666.48</v>
      </c>
      <c r="O29" s="14" t="s">
        <v>83</v>
      </c>
    </row>
    <row r="30" spans="1:15" ht="24.75" thickBot="1">
      <c r="A30" s="59"/>
      <c r="B30" s="18" t="s">
        <v>80</v>
      </c>
      <c r="C30" s="14"/>
      <c r="D30" s="14"/>
      <c r="E30" s="14"/>
      <c r="F30" s="272">
        <f>N29</f>
        <v>666.48</v>
      </c>
      <c r="G30" s="272"/>
      <c r="H30" s="14" t="s">
        <v>214</v>
      </c>
      <c r="I30" s="222">
        <v>10</v>
      </c>
      <c r="J30" s="222"/>
      <c r="K30" s="62"/>
      <c r="M30" s="207" t="s">
        <v>77</v>
      </c>
      <c r="N30" s="57">
        <f>ROUNDDOWN(N29/10,0)</f>
        <v>66</v>
      </c>
      <c r="O30" s="14" t="s">
        <v>83</v>
      </c>
    </row>
    <row r="31" spans="1:15" ht="24.75" thickTop="1">
      <c r="A31" s="60"/>
      <c r="B31" s="5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8"/>
      <c r="O31" s="14"/>
    </row>
  </sheetData>
  <sheetProtection/>
  <mergeCells count="38">
    <mergeCell ref="F21:G21"/>
    <mergeCell ref="I21:J21"/>
    <mergeCell ref="F30:G30"/>
    <mergeCell ref="I30:J30"/>
    <mergeCell ref="F3:G3"/>
    <mergeCell ref="J3:K3"/>
    <mergeCell ref="F4:G4"/>
    <mergeCell ref="J4:K4"/>
    <mergeCell ref="F5:G5"/>
    <mergeCell ref="J5:K5"/>
    <mergeCell ref="F6:G6"/>
    <mergeCell ref="J6:K6"/>
    <mergeCell ref="F7:G7"/>
    <mergeCell ref="J7:K7"/>
    <mergeCell ref="F8:G8"/>
    <mergeCell ref="J8:K8"/>
    <mergeCell ref="F9:G9"/>
    <mergeCell ref="J9:K9"/>
    <mergeCell ref="F15:G15"/>
    <mergeCell ref="J15:K15"/>
    <mergeCell ref="F16:G16"/>
    <mergeCell ref="J16:K16"/>
    <mergeCell ref="F11:G11"/>
    <mergeCell ref="I11:J11"/>
    <mergeCell ref="F17:G17"/>
    <mergeCell ref="J17:K17"/>
    <mergeCell ref="F18:G18"/>
    <mergeCell ref="J18:K18"/>
    <mergeCell ref="F19:G19"/>
    <mergeCell ref="J19:K19"/>
    <mergeCell ref="F28:G28"/>
    <mergeCell ref="J28:K28"/>
    <mergeCell ref="F25:G25"/>
    <mergeCell ref="J25:K25"/>
    <mergeCell ref="F26:G26"/>
    <mergeCell ref="J26:K26"/>
    <mergeCell ref="F27:G27"/>
    <mergeCell ref="J27:K27"/>
  </mergeCells>
  <printOptions horizontalCentered="1"/>
  <pageMargins left="0.5905511811023623" right="0" top="0.5905511811023623" bottom="0" header="0.31496062992125984" footer="0.31496062992125984"/>
  <pageSetup horizontalDpi="300" verticalDpi="300" orientation="portrait" paperSize="9" scale="90" r:id="rId3"/>
  <rowBreaks count="1" manualBreakCount="1">
    <brk id="31" max="255" man="1"/>
  </rowBreaks>
  <colBreaks count="1" manualBreakCount="1">
    <brk id="15" max="3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0" zoomScaleNormal="110" zoomScaleSheetLayoutView="110" zoomScalePageLayoutView="0" workbookViewId="0" topLeftCell="A1">
      <selection activeCell="E15" sqref="E15"/>
    </sheetView>
  </sheetViews>
  <sheetFormatPr defaultColWidth="9.140625" defaultRowHeight="15"/>
  <cols>
    <col min="2" max="2" width="9.8515625" style="0" customWidth="1"/>
    <col min="3" max="3" width="7.28125" style="0" customWidth="1"/>
    <col min="5" max="5" width="13.28125" style="0" customWidth="1"/>
    <col min="6" max="6" width="8.28125" style="0" customWidth="1"/>
    <col min="7" max="7" width="7.00390625" style="0" customWidth="1"/>
    <col min="8" max="8" width="3.00390625" style="0" customWidth="1"/>
    <col min="9" max="9" width="10.140625" style="0" customWidth="1"/>
    <col min="10" max="10" width="12.00390625" style="0" customWidth="1"/>
  </cols>
  <sheetData>
    <row r="1" spans="1:10" ht="24">
      <c r="A1" s="101">
        <v>1</v>
      </c>
      <c r="B1" s="45" t="s">
        <v>163</v>
      </c>
      <c r="C1" s="107"/>
      <c r="D1" s="108"/>
      <c r="E1" s="47"/>
      <c r="F1" s="107"/>
      <c r="G1" s="47"/>
      <c r="H1" s="47"/>
      <c r="I1" s="109"/>
      <c r="J1" s="110"/>
    </row>
    <row r="2" spans="1:10" ht="24">
      <c r="A2" s="101"/>
      <c r="B2" s="14" t="s">
        <v>164</v>
      </c>
      <c r="C2" s="14"/>
      <c r="D2" s="14"/>
      <c r="E2" s="56"/>
      <c r="F2" s="18"/>
      <c r="G2" s="47"/>
      <c r="H2" s="47" t="s">
        <v>21</v>
      </c>
      <c r="I2" s="134">
        <f>ค่าวัสดุและดำเนินการ!K18</f>
        <v>535.84</v>
      </c>
      <c r="J2" s="110" t="s">
        <v>180</v>
      </c>
    </row>
    <row r="3" spans="1:10" ht="24">
      <c r="A3" s="101"/>
      <c r="B3" s="129" t="s">
        <v>165</v>
      </c>
      <c r="C3" s="46"/>
      <c r="D3" s="111">
        <v>0</v>
      </c>
      <c r="E3" s="48" t="s">
        <v>156</v>
      </c>
      <c r="G3" s="47"/>
      <c r="H3" s="47" t="s">
        <v>21</v>
      </c>
      <c r="I3" s="112">
        <v>0</v>
      </c>
      <c r="J3" s="110" t="s">
        <v>180</v>
      </c>
    </row>
    <row r="4" spans="1:10" ht="24">
      <c r="A4" s="101"/>
      <c r="B4" s="46" t="s">
        <v>73</v>
      </c>
      <c r="C4" s="46"/>
      <c r="D4" s="46"/>
      <c r="E4" s="47"/>
      <c r="F4" s="48"/>
      <c r="G4" s="47"/>
      <c r="H4" s="47"/>
      <c r="I4" s="132">
        <f>ROUND(SUM(I1:I3),2)</f>
        <v>535.84</v>
      </c>
      <c r="J4" s="110" t="s">
        <v>180</v>
      </c>
    </row>
    <row r="5" spans="1:10" ht="24">
      <c r="A5" s="101"/>
      <c r="B5" s="46" t="s">
        <v>181</v>
      </c>
      <c r="C5" s="46"/>
      <c r="D5" s="130">
        <f>I4</f>
        <v>535.84</v>
      </c>
      <c r="E5" s="47"/>
      <c r="F5" s="48"/>
      <c r="G5" s="47"/>
      <c r="H5" s="47" t="s">
        <v>21</v>
      </c>
      <c r="I5" s="131">
        <f>ROUND(D5*1.25,2)</f>
        <v>669.8</v>
      </c>
      <c r="J5" s="110" t="s">
        <v>106</v>
      </c>
    </row>
    <row r="6" spans="1:10" ht="24">
      <c r="A6" s="101"/>
      <c r="B6" s="14" t="s">
        <v>188</v>
      </c>
      <c r="C6" s="14"/>
      <c r="D6" s="14"/>
      <c r="E6" s="56"/>
      <c r="F6" s="18"/>
      <c r="G6" s="47"/>
      <c r="H6" s="47" t="s">
        <v>21</v>
      </c>
      <c r="I6" s="113">
        <v>0</v>
      </c>
      <c r="J6" s="110" t="s">
        <v>106</v>
      </c>
    </row>
    <row r="7" spans="1:10" ht="24">
      <c r="A7" s="101"/>
      <c r="B7" s="50" t="s">
        <v>157</v>
      </c>
      <c r="C7" s="46"/>
      <c r="D7" s="46"/>
      <c r="E7" s="47"/>
      <c r="F7" s="48"/>
      <c r="G7" s="47"/>
      <c r="H7" s="47"/>
      <c r="I7" s="51">
        <f>ROUND(SUM(I5:I6),2)</f>
        <v>669.8</v>
      </c>
      <c r="J7" s="110" t="s">
        <v>180</v>
      </c>
    </row>
    <row r="8" spans="1:10" ht="24.75" thickBot="1">
      <c r="A8" s="101"/>
      <c r="B8" s="1"/>
      <c r="C8" s="1"/>
      <c r="D8" s="1"/>
      <c r="E8" s="1"/>
      <c r="F8" s="46" t="s">
        <v>155</v>
      </c>
      <c r="G8" s="1"/>
      <c r="H8" s="1"/>
      <c r="I8" s="133">
        <f>ROUNDDOWN(I7,0)</f>
        <v>669</v>
      </c>
      <c r="J8" s="110" t="s">
        <v>180</v>
      </c>
    </row>
    <row r="9" ht="15" thickTop="1"/>
    <row r="16" ht="14.25">
      <c r="J16" s="135"/>
    </row>
  </sheetData>
  <sheetProtection/>
  <printOptions horizontalCentered="1"/>
  <pageMargins left="0.5905511811023623" right="0.1968503937007874" top="0.3937007874015748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4.8515625" style="0" customWidth="1"/>
    <col min="2" max="2" width="17.28125" style="0" customWidth="1"/>
    <col min="3" max="3" width="22.421875" style="0" customWidth="1"/>
    <col min="4" max="4" width="5.57421875" style="0" customWidth="1"/>
    <col min="5" max="5" width="6.421875" style="0" customWidth="1"/>
    <col min="6" max="6" width="7.28125" style="0" customWidth="1"/>
  </cols>
  <sheetData>
    <row r="1" spans="1:8" ht="24">
      <c r="A1" s="7" t="s">
        <v>23</v>
      </c>
      <c r="B1" s="7"/>
      <c r="C1" s="7" t="s">
        <v>0</v>
      </c>
      <c r="D1" s="7" t="s">
        <v>24</v>
      </c>
      <c r="E1" s="7" t="s">
        <v>1</v>
      </c>
      <c r="F1" s="136" t="s">
        <v>68</v>
      </c>
      <c r="G1" s="7" t="s">
        <v>167</v>
      </c>
      <c r="H1" s="7" t="s">
        <v>13</v>
      </c>
    </row>
    <row r="2" spans="1:8" ht="24">
      <c r="A2" s="137">
        <v>1</v>
      </c>
      <c r="B2" s="37" t="s">
        <v>183</v>
      </c>
      <c r="C2" s="15"/>
      <c r="D2" s="138"/>
      <c r="E2" s="159"/>
      <c r="F2" s="139"/>
      <c r="G2" s="140"/>
      <c r="H2" s="159" t="s">
        <v>168</v>
      </c>
    </row>
    <row r="3" spans="1:8" ht="24">
      <c r="A3" s="140"/>
      <c r="B3" s="15" t="s">
        <v>170</v>
      </c>
      <c r="C3" s="15"/>
      <c r="D3" s="142">
        <v>1</v>
      </c>
      <c r="E3" s="159" t="s">
        <v>150</v>
      </c>
      <c r="F3" s="143">
        <f>ค่าวัสดุและดำเนินการ!K23</f>
        <v>696.26</v>
      </c>
      <c r="G3" s="144">
        <f>D3*F3</f>
        <v>696.26</v>
      </c>
      <c r="H3" s="159"/>
    </row>
    <row r="4" spans="1:8" ht="24">
      <c r="A4" s="140"/>
      <c r="B4" s="15" t="s">
        <v>171</v>
      </c>
      <c r="C4" s="15"/>
      <c r="D4" s="142">
        <v>0.3</v>
      </c>
      <c r="E4" s="159" t="s">
        <v>150</v>
      </c>
      <c r="F4" s="143">
        <f>ค่าวัสดุและดำเนินการ!K24</f>
        <v>582.24</v>
      </c>
      <c r="G4" s="144">
        <f>D4*F4</f>
        <v>174.672</v>
      </c>
      <c r="H4" s="141"/>
    </row>
    <row r="5" spans="1:8" ht="24">
      <c r="A5" s="140"/>
      <c r="B5" s="15" t="s">
        <v>175</v>
      </c>
      <c r="C5" s="15"/>
      <c r="D5" s="142">
        <v>0.3</v>
      </c>
      <c r="E5" s="159" t="s">
        <v>176</v>
      </c>
      <c r="F5" s="143">
        <f>ค่าวัสดุและดำเนินการ!K25</f>
        <v>0</v>
      </c>
      <c r="G5" s="144">
        <f>D5*F5</f>
        <v>0</v>
      </c>
      <c r="H5" s="141"/>
    </row>
    <row r="6" spans="1:8" ht="24">
      <c r="A6" s="140"/>
      <c r="B6" s="15" t="s">
        <v>172</v>
      </c>
      <c r="C6" s="15"/>
      <c r="D6" s="142">
        <f>D3*25%</f>
        <v>0.25</v>
      </c>
      <c r="E6" s="159" t="s">
        <v>85</v>
      </c>
      <c r="F6" s="143">
        <f>ค่าวัสดุและดำเนินการ!K26</f>
        <v>37.38</v>
      </c>
      <c r="G6" s="144">
        <f>D6*F6</f>
        <v>9.345</v>
      </c>
      <c r="H6" s="141"/>
    </row>
    <row r="7" spans="1:8" ht="24">
      <c r="A7" s="140"/>
      <c r="B7" s="15" t="s">
        <v>177</v>
      </c>
      <c r="C7" s="15"/>
      <c r="D7" s="142">
        <v>1</v>
      </c>
      <c r="E7" s="159" t="s">
        <v>22</v>
      </c>
      <c r="F7" s="143">
        <v>0</v>
      </c>
      <c r="G7" s="144">
        <f>D7*F7</f>
        <v>0</v>
      </c>
      <c r="H7" s="141"/>
    </row>
    <row r="8" spans="1:8" ht="24">
      <c r="A8" s="140"/>
      <c r="B8" s="15"/>
      <c r="C8" s="145" t="s">
        <v>12</v>
      </c>
      <c r="D8" s="142"/>
      <c r="E8" s="159"/>
      <c r="F8" s="146" t="s">
        <v>111</v>
      </c>
      <c r="G8" s="49">
        <f>ROUND(SUM(G3:G7),2)</f>
        <v>880.28</v>
      </c>
      <c r="H8" s="141"/>
    </row>
    <row r="9" spans="1:8" ht="24">
      <c r="A9" s="140"/>
      <c r="B9" s="15"/>
      <c r="C9" s="145" t="s">
        <v>184</v>
      </c>
      <c r="D9" s="149">
        <v>1</v>
      </c>
      <c r="E9" s="159" t="s">
        <v>22</v>
      </c>
      <c r="F9" s="158" t="s">
        <v>111</v>
      </c>
      <c r="G9" s="157">
        <f>ROUND(G8/4,2)</f>
        <v>220.07</v>
      </c>
      <c r="H9" s="155"/>
    </row>
    <row r="10" spans="1:8" ht="24">
      <c r="A10" s="140"/>
      <c r="B10" s="15" t="s">
        <v>169</v>
      </c>
      <c r="C10" s="15"/>
      <c r="D10" s="142">
        <v>1</v>
      </c>
      <c r="E10" s="159" t="s">
        <v>22</v>
      </c>
      <c r="F10" s="146" t="s">
        <v>111</v>
      </c>
      <c r="G10" s="150">
        <v>133</v>
      </c>
      <c r="H10" s="141"/>
    </row>
    <row r="11" spans="1:8" ht="24.75" thickBot="1">
      <c r="A11" s="7"/>
      <c r="B11" s="7"/>
      <c r="C11" s="147" t="s">
        <v>179</v>
      </c>
      <c r="D11" s="138">
        <v>1</v>
      </c>
      <c r="E11" s="159" t="s">
        <v>22</v>
      </c>
      <c r="F11" s="146" t="s">
        <v>111</v>
      </c>
      <c r="G11" s="148">
        <f>ROUNDDOWN(G9+G10,0)</f>
        <v>353</v>
      </c>
      <c r="H11" s="141" t="s">
        <v>173</v>
      </c>
    </row>
    <row r="12" ht="15" thickTop="1"/>
    <row r="14" spans="1:8" ht="24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36" t="s">
        <v>68</v>
      </c>
      <c r="G14" s="7" t="s">
        <v>167</v>
      </c>
      <c r="H14" s="7" t="s">
        <v>13</v>
      </c>
    </row>
    <row r="15" spans="1:8" ht="24">
      <c r="A15" s="137">
        <v>2</v>
      </c>
      <c r="B15" s="37" t="s">
        <v>174</v>
      </c>
      <c r="C15" s="15"/>
      <c r="D15" s="138"/>
      <c r="E15" s="106"/>
      <c r="F15" s="139"/>
      <c r="G15" s="140"/>
      <c r="H15" s="106" t="s">
        <v>168</v>
      </c>
    </row>
    <row r="16" spans="1:8" ht="24">
      <c r="A16" s="140"/>
      <c r="B16" s="15" t="s">
        <v>170</v>
      </c>
      <c r="C16" s="15"/>
      <c r="D16" s="142">
        <v>1</v>
      </c>
      <c r="E16" s="106" t="s">
        <v>150</v>
      </c>
      <c r="F16" s="143">
        <f>ค่าวัสดุและดำเนินการ!K23</f>
        <v>696.26</v>
      </c>
      <c r="G16" s="144">
        <f>D16*F16</f>
        <v>696.26</v>
      </c>
      <c r="H16" s="106"/>
    </row>
    <row r="17" spans="1:8" ht="24">
      <c r="A17" s="140"/>
      <c r="B17" s="15" t="s">
        <v>171</v>
      </c>
      <c r="C17" s="15"/>
      <c r="D17" s="142">
        <v>0.3</v>
      </c>
      <c r="E17" s="106" t="s">
        <v>150</v>
      </c>
      <c r="F17" s="143">
        <f>ค่าวัสดุและดำเนินการ!K24</f>
        <v>582.24</v>
      </c>
      <c r="G17" s="144">
        <f>D17*F17</f>
        <v>174.672</v>
      </c>
      <c r="H17" s="141"/>
    </row>
    <row r="18" spans="1:8" ht="24">
      <c r="A18" s="140"/>
      <c r="B18" s="15" t="s">
        <v>175</v>
      </c>
      <c r="C18" s="15"/>
      <c r="D18" s="142">
        <v>0.3</v>
      </c>
      <c r="E18" s="106" t="s">
        <v>176</v>
      </c>
      <c r="F18" s="143">
        <f>ค่าวัสดุและดำเนินการ!K25</f>
        <v>0</v>
      </c>
      <c r="G18" s="144">
        <f>D18*F18</f>
        <v>0</v>
      </c>
      <c r="H18" s="141"/>
    </row>
    <row r="19" spans="1:8" ht="24">
      <c r="A19" s="140"/>
      <c r="B19" s="15" t="s">
        <v>172</v>
      </c>
      <c r="C19" s="15"/>
      <c r="D19" s="142">
        <f>D16*25%</f>
        <v>0.25</v>
      </c>
      <c r="E19" s="106" t="s">
        <v>85</v>
      </c>
      <c r="F19" s="143">
        <f>ค่าวัสดุและดำเนินการ!K26</f>
        <v>37.38</v>
      </c>
      <c r="G19" s="144">
        <f>D19*F19</f>
        <v>9.345</v>
      </c>
      <c r="H19" s="141"/>
    </row>
    <row r="20" spans="1:8" ht="24">
      <c r="A20" s="140"/>
      <c r="B20" s="15" t="s">
        <v>177</v>
      </c>
      <c r="C20" s="15"/>
      <c r="D20" s="142">
        <v>1</v>
      </c>
      <c r="E20" s="106" t="s">
        <v>22</v>
      </c>
      <c r="F20" s="143">
        <v>0</v>
      </c>
      <c r="G20" s="144">
        <f>D20*F20</f>
        <v>0</v>
      </c>
      <c r="H20" s="141"/>
    </row>
    <row r="21" spans="1:8" ht="24">
      <c r="A21" s="140"/>
      <c r="B21" s="15"/>
      <c r="C21" s="145" t="s">
        <v>12</v>
      </c>
      <c r="D21" s="142"/>
      <c r="E21" s="106"/>
      <c r="F21" s="146" t="s">
        <v>111</v>
      </c>
      <c r="G21" s="49">
        <f>ROUND(SUM(G16:G20),2)</f>
        <v>880.28</v>
      </c>
      <c r="H21" s="141"/>
    </row>
    <row r="22" spans="1:8" ht="24">
      <c r="A22" s="140"/>
      <c r="B22" s="15"/>
      <c r="C22" s="145" t="s">
        <v>178</v>
      </c>
      <c r="D22" s="149">
        <v>1</v>
      </c>
      <c r="E22" s="153" t="s">
        <v>22</v>
      </c>
      <c r="F22" s="154" t="s">
        <v>111</v>
      </c>
      <c r="G22" s="157">
        <f>ROUND(G21/5,2)</f>
        <v>176.06</v>
      </c>
      <c r="H22" s="155"/>
    </row>
    <row r="23" spans="1:8" ht="24">
      <c r="A23" s="140"/>
      <c r="B23" s="15" t="s">
        <v>169</v>
      </c>
      <c r="C23" s="15"/>
      <c r="D23" s="142">
        <v>1</v>
      </c>
      <c r="E23" s="106" t="s">
        <v>22</v>
      </c>
      <c r="F23" s="146" t="s">
        <v>111</v>
      </c>
      <c r="G23" s="150">
        <v>133</v>
      </c>
      <c r="H23" s="141"/>
    </row>
    <row r="24" spans="1:8" ht="24.75" thickBot="1">
      <c r="A24" s="7"/>
      <c r="B24" s="7"/>
      <c r="C24" s="147" t="s">
        <v>179</v>
      </c>
      <c r="D24" s="138">
        <v>1</v>
      </c>
      <c r="E24" s="106" t="s">
        <v>22</v>
      </c>
      <c r="F24" s="146" t="s">
        <v>111</v>
      </c>
      <c r="G24" s="148">
        <f>ROUNDDOWN(G22+G23,0)</f>
        <v>309</v>
      </c>
      <c r="H24" s="141" t="s">
        <v>173</v>
      </c>
    </row>
    <row r="25" ht="15" thickTop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120" zoomScaleNormal="120" zoomScaleSheetLayoutView="120" zoomScalePageLayoutView="0" workbookViewId="0" topLeftCell="A1">
      <selection activeCell="G42" sqref="G42"/>
    </sheetView>
  </sheetViews>
  <sheetFormatPr defaultColWidth="9.140625" defaultRowHeight="15"/>
  <cols>
    <col min="1" max="1" width="5.7109375" style="1" customWidth="1"/>
    <col min="2" max="2" width="13.140625" style="1" customWidth="1"/>
    <col min="3" max="5" width="9.00390625" style="1" customWidth="1"/>
    <col min="6" max="6" width="6.421875" style="1" customWidth="1"/>
    <col min="7" max="7" width="8.28125" style="1" customWidth="1"/>
    <col min="8" max="9" width="4.57421875" style="1" customWidth="1"/>
    <col min="10" max="11" width="5.57421875" style="1" customWidth="1"/>
    <col min="12" max="12" width="9.00390625" style="1" customWidth="1"/>
    <col min="13" max="14" width="11.57421875" style="1" customWidth="1"/>
    <col min="15" max="16384" width="9.00390625" style="1" customWidth="1"/>
  </cols>
  <sheetData>
    <row r="1" spans="1:14" ht="24">
      <c r="A1" s="224" t="s">
        <v>196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ht="2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0" ht="24">
      <c r="A3" s="1" t="str">
        <f>ค่าวัสดุและดำเนินการ!A3</f>
        <v>โครงการ      : ก่อสร้างถนน คสล. บ้านนายพนม  ลีนำโชค (ไซโลข้าวโพด) บ้านค้างฮ้อ  หมู่ที่ 3</v>
      </c>
      <c r="J3" s="1" t="str">
        <f>ค่าวัสดุและดำเนินการ!I3</f>
        <v>ตามแบบมาตรฐานถนน คสล. เลขที่ ท.1-01</v>
      </c>
    </row>
    <row r="4" ht="24">
      <c r="A4" s="1" t="str">
        <f>ค่าวัสดุและดำเนินการ!A4</f>
        <v>ปริมาณงาน   : ก่อสร้างถนนคสล. ขนาดกว้าง 5.00 เมตร  ยาว 110.00 เมตร  หนา 0.15 เมตร พร้อมไหล่ทาง 2 ข้าง  กว้างเฉลี่ย 0.30 เมตร </v>
      </c>
    </row>
    <row r="5" spans="1:7" ht="24">
      <c r="A5" s="1" t="str">
        <f>ค่าวัสดุและดำเนินการ!A5</f>
        <v>ที่ตั้งโครงการ : บ้านค้างฮ้อ  หมู่ที่ 3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27.00 - 27.99  บาท/ลิตร</v>
      </c>
    </row>
    <row r="6" spans="1:7" ht="2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7" ht="2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7" ht="24">
      <c r="A8" s="1" t="s">
        <v>253</v>
      </c>
      <c r="G8" s="1" t="s">
        <v>252</v>
      </c>
    </row>
    <row r="9" spans="1:14" ht="24">
      <c r="A9" s="236" t="s">
        <v>23</v>
      </c>
      <c r="B9" s="238" t="s">
        <v>0</v>
      </c>
      <c r="C9" s="238"/>
      <c r="D9" s="238"/>
      <c r="E9" s="239"/>
      <c r="F9" s="236" t="s">
        <v>1</v>
      </c>
      <c r="G9" s="242" t="s">
        <v>24</v>
      </c>
      <c r="H9" s="244" t="s">
        <v>68</v>
      </c>
      <c r="I9" s="245"/>
      <c r="J9" s="244" t="s">
        <v>25</v>
      </c>
      <c r="K9" s="245"/>
      <c r="L9" s="248" t="s">
        <v>26</v>
      </c>
      <c r="M9" s="19" t="s">
        <v>27</v>
      </c>
      <c r="N9" s="248" t="s">
        <v>75</v>
      </c>
    </row>
    <row r="10" spans="1:14" ht="24">
      <c r="A10" s="237"/>
      <c r="B10" s="240"/>
      <c r="C10" s="240"/>
      <c r="D10" s="240"/>
      <c r="E10" s="241"/>
      <c r="F10" s="237"/>
      <c r="G10" s="243"/>
      <c r="H10" s="246" t="s">
        <v>69</v>
      </c>
      <c r="I10" s="247"/>
      <c r="J10" s="246"/>
      <c r="K10" s="247"/>
      <c r="L10" s="249"/>
      <c r="M10" s="20" t="s">
        <v>28</v>
      </c>
      <c r="N10" s="249"/>
    </row>
    <row r="11" spans="1:14" ht="24">
      <c r="A11" s="114">
        <v>1</v>
      </c>
      <c r="B11" s="115" t="s">
        <v>233</v>
      </c>
      <c r="C11" s="22"/>
      <c r="D11" s="23"/>
      <c r="E11" s="24"/>
      <c r="F11" s="25"/>
      <c r="G11" s="26"/>
      <c r="H11" s="118"/>
      <c r="I11" s="119"/>
      <c r="J11" s="234"/>
      <c r="K11" s="235"/>
      <c r="L11" s="27"/>
      <c r="M11" s="27"/>
      <c r="N11" s="28"/>
    </row>
    <row r="12" spans="1:14" ht="24">
      <c r="A12" s="114"/>
      <c r="B12" s="30" t="s">
        <v>232</v>
      </c>
      <c r="C12" s="30"/>
      <c r="D12" s="29"/>
      <c r="E12" s="31"/>
      <c r="F12" s="21"/>
      <c r="G12" s="26"/>
      <c r="H12" s="226"/>
      <c r="I12" s="227"/>
      <c r="J12" s="226"/>
      <c r="K12" s="227"/>
      <c r="L12" s="32"/>
      <c r="M12" s="41"/>
      <c r="N12" s="27"/>
    </row>
    <row r="13" spans="1:14" ht="24">
      <c r="A13" s="114">
        <v>2</v>
      </c>
      <c r="B13" s="116" t="s">
        <v>234</v>
      </c>
      <c r="C13" s="30"/>
      <c r="D13" s="29"/>
      <c r="E13" s="31"/>
      <c r="F13" s="21"/>
      <c r="G13" s="26"/>
      <c r="H13" s="216"/>
      <c r="I13" s="217"/>
      <c r="J13" s="216"/>
      <c r="K13" s="217"/>
      <c r="L13" s="32"/>
      <c r="M13" s="41"/>
      <c r="N13" s="27"/>
    </row>
    <row r="14" spans="1:14" ht="24">
      <c r="A14" s="114"/>
      <c r="B14" s="30" t="s">
        <v>235</v>
      </c>
      <c r="C14" s="30"/>
      <c r="D14" s="29"/>
      <c r="E14" s="31"/>
      <c r="F14" s="21"/>
      <c r="G14" s="26"/>
      <c r="H14" s="226"/>
      <c r="I14" s="227"/>
      <c r="J14" s="226"/>
      <c r="K14" s="227"/>
      <c r="L14" s="32"/>
      <c r="M14" s="41"/>
      <c r="N14" s="27"/>
    </row>
    <row r="15" spans="1:14" ht="24">
      <c r="A15" s="114">
        <v>3</v>
      </c>
      <c r="B15" s="116" t="s">
        <v>158</v>
      </c>
      <c r="C15" s="30"/>
      <c r="D15" s="29"/>
      <c r="E15" s="31"/>
      <c r="F15" s="21"/>
      <c r="G15" s="26"/>
      <c r="H15" s="216"/>
      <c r="I15" s="217"/>
      <c r="J15" s="216"/>
      <c r="K15" s="217"/>
      <c r="L15" s="32"/>
      <c r="M15" s="41"/>
      <c r="N15" s="27"/>
    </row>
    <row r="16" spans="1:14" ht="24">
      <c r="A16" s="114"/>
      <c r="B16" s="30" t="s">
        <v>244</v>
      </c>
      <c r="C16" s="30"/>
      <c r="D16" s="29"/>
      <c r="E16" s="31"/>
      <c r="F16" s="21"/>
      <c r="G16" s="26"/>
      <c r="H16" s="226"/>
      <c r="I16" s="227"/>
      <c r="J16" s="226"/>
      <c r="K16" s="227"/>
      <c r="L16" s="32"/>
      <c r="M16" s="41"/>
      <c r="N16" s="27"/>
    </row>
    <row r="17" spans="1:14" ht="24">
      <c r="A17" s="114"/>
      <c r="B17" s="30" t="s">
        <v>245</v>
      </c>
      <c r="C17" s="30"/>
      <c r="D17" s="29"/>
      <c r="E17" s="31"/>
      <c r="F17" s="21"/>
      <c r="G17" s="26"/>
      <c r="H17" s="226"/>
      <c r="I17" s="227"/>
      <c r="J17" s="226"/>
      <c r="K17" s="227"/>
      <c r="L17" s="32"/>
      <c r="M17" s="41"/>
      <c r="N17" s="27"/>
    </row>
    <row r="18" spans="1:14" ht="24">
      <c r="A18" s="114">
        <v>4</v>
      </c>
      <c r="B18" s="116" t="s">
        <v>159</v>
      </c>
      <c r="C18" s="30"/>
      <c r="D18" s="29"/>
      <c r="E18" s="31"/>
      <c r="F18" s="25"/>
      <c r="G18" s="34"/>
      <c r="H18" s="41"/>
      <c r="I18" s="117"/>
      <c r="J18" s="226"/>
      <c r="K18" s="227"/>
      <c r="L18" s="32"/>
      <c r="M18" s="41"/>
      <c r="N18" s="27"/>
    </row>
    <row r="19" spans="1:14" ht="24">
      <c r="A19" s="114"/>
      <c r="B19" s="30" t="s">
        <v>246</v>
      </c>
      <c r="C19" s="30"/>
      <c r="D19" s="29"/>
      <c r="E19" s="31" t="s">
        <v>195</v>
      </c>
      <c r="F19" s="21"/>
      <c r="G19" s="26"/>
      <c r="H19" s="226"/>
      <c r="I19" s="227"/>
      <c r="J19" s="226"/>
      <c r="K19" s="227"/>
      <c r="L19" s="32"/>
      <c r="M19" s="41"/>
      <c r="N19" s="27"/>
    </row>
    <row r="20" spans="1:14" ht="24">
      <c r="A20" s="114">
        <v>5</v>
      </c>
      <c r="B20" s="116" t="s">
        <v>160</v>
      </c>
      <c r="C20" s="30"/>
      <c r="D20" s="29"/>
      <c r="E20" s="31"/>
      <c r="F20" s="25"/>
      <c r="G20" s="34"/>
      <c r="H20" s="216"/>
      <c r="I20" s="217"/>
      <c r="J20" s="216"/>
      <c r="K20" s="217"/>
      <c r="L20" s="32"/>
      <c r="M20" s="41"/>
      <c r="N20" s="27"/>
    </row>
    <row r="21" spans="1:14" ht="24">
      <c r="A21" s="114"/>
      <c r="B21" s="30" t="s">
        <v>247</v>
      </c>
      <c r="C21" s="30"/>
      <c r="D21" s="29"/>
      <c r="E21" s="31"/>
      <c r="F21" s="21"/>
      <c r="G21" s="26"/>
      <c r="H21" s="226"/>
      <c r="I21" s="227"/>
      <c r="J21" s="226"/>
      <c r="K21" s="227"/>
      <c r="L21" s="32"/>
      <c r="M21" s="41"/>
      <c r="N21" s="27"/>
    </row>
    <row r="22" spans="1:14" ht="24">
      <c r="A22" s="114"/>
      <c r="B22" s="30" t="s">
        <v>248</v>
      </c>
      <c r="C22" s="30"/>
      <c r="D22" s="29"/>
      <c r="E22" s="31"/>
      <c r="F22" s="21"/>
      <c r="G22" s="26"/>
      <c r="H22" s="226"/>
      <c r="I22" s="227"/>
      <c r="J22" s="226"/>
      <c r="K22" s="227"/>
      <c r="L22" s="32"/>
      <c r="M22" s="41"/>
      <c r="N22" s="27"/>
    </row>
    <row r="23" spans="1:14" ht="24">
      <c r="A23" s="114"/>
      <c r="B23" s="30" t="s">
        <v>249</v>
      </c>
      <c r="C23" s="30"/>
      <c r="D23" s="29"/>
      <c r="E23" s="31"/>
      <c r="F23" s="21"/>
      <c r="G23" s="26"/>
      <c r="H23" s="226"/>
      <c r="I23" s="227"/>
      <c r="J23" s="226"/>
      <c r="K23" s="227"/>
      <c r="L23" s="32"/>
      <c r="M23" s="41"/>
      <c r="N23" s="27"/>
    </row>
    <row r="24" spans="1:14" ht="24">
      <c r="A24" s="114"/>
      <c r="B24" s="30" t="s">
        <v>250</v>
      </c>
      <c r="C24" s="30"/>
      <c r="D24" s="29"/>
      <c r="E24" s="31"/>
      <c r="F24" s="21"/>
      <c r="G24" s="26"/>
      <c r="H24" s="226"/>
      <c r="I24" s="227"/>
      <c r="J24" s="226"/>
      <c r="K24" s="227"/>
      <c r="L24" s="32"/>
      <c r="M24" s="41"/>
      <c r="N24" s="27"/>
    </row>
    <row r="25" spans="1:14" ht="24">
      <c r="A25" s="114">
        <v>6</v>
      </c>
      <c r="B25" s="116" t="s">
        <v>161</v>
      </c>
      <c r="C25" s="30"/>
      <c r="D25" s="29"/>
      <c r="E25" s="31"/>
      <c r="F25" s="25"/>
      <c r="G25" s="34"/>
      <c r="H25" s="216"/>
      <c r="I25" s="217"/>
      <c r="J25" s="216"/>
      <c r="K25" s="217"/>
      <c r="L25" s="32"/>
      <c r="M25" s="41"/>
      <c r="N25" s="27"/>
    </row>
    <row r="26" spans="1:14" ht="24">
      <c r="A26" s="114"/>
      <c r="B26" s="30" t="s">
        <v>251</v>
      </c>
      <c r="C26" s="30"/>
      <c r="D26" s="29"/>
      <c r="E26" s="31"/>
      <c r="F26" s="21"/>
      <c r="G26" s="26"/>
      <c r="H26" s="226"/>
      <c r="I26" s="227"/>
      <c r="J26" s="226"/>
      <c r="K26" s="227"/>
      <c r="L26" s="32"/>
      <c r="M26" s="41"/>
      <c r="N26" s="27"/>
    </row>
    <row r="27" spans="1:14" ht="24">
      <c r="A27" s="218">
        <v>7</v>
      </c>
      <c r="B27" s="120" t="s">
        <v>74</v>
      </c>
      <c r="C27" s="120"/>
      <c r="D27" s="121"/>
      <c r="E27" s="122"/>
      <c r="F27" s="123"/>
      <c r="G27" s="124"/>
      <c r="H27" s="125"/>
      <c r="I27" s="126"/>
      <c r="J27" s="125"/>
      <c r="K27" s="126"/>
      <c r="L27" s="40"/>
      <c r="M27" s="35"/>
      <c r="N27" s="27"/>
    </row>
    <row r="28" spans="1:14" ht="24">
      <c r="A28" s="15"/>
      <c r="B28" s="15"/>
      <c r="C28" s="36"/>
      <c r="D28" s="37"/>
      <c r="E28" s="37"/>
      <c r="F28" s="15"/>
      <c r="G28" s="220"/>
      <c r="H28" s="220"/>
      <c r="I28" s="15"/>
      <c r="J28" s="15"/>
      <c r="K28" s="38"/>
      <c r="L28" s="14"/>
      <c r="M28" s="36" t="s">
        <v>162</v>
      </c>
      <c r="N28" s="128"/>
    </row>
    <row r="29" spans="1:14" ht="24.75" thickBot="1">
      <c r="A29" s="15"/>
      <c r="B29" s="15"/>
      <c r="C29" s="36"/>
      <c r="D29" s="37"/>
      <c r="E29" s="37"/>
      <c r="F29" s="15"/>
      <c r="G29" s="220"/>
      <c r="H29" s="220"/>
      <c r="I29" s="15"/>
      <c r="J29" s="15"/>
      <c r="K29" s="38"/>
      <c r="L29" s="14"/>
      <c r="M29" s="36" t="s">
        <v>228</v>
      </c>
      <c r="N29" s="127"/>
    </row>
    <row r="30" spans="1:14" ht="25.5" thickBot="1" thickTop="1">
      <c r="A30" s="14"/>
      <c r="B30" s="16" t="s">
        <v>29</v>
      </c>
      <c r="C30" s="17"/>
      <c r="D30" s="16"/>
      <c r="E30" s="16"/>
      <c r="H30" s="215"/>
      <c r="I30" s="14"/>
      <c r="J30" s="231"/>
      <c r="K30" s="232"/>
      <c r="L30" s="233"/>
      <c r="M30" s="33"/>
      <c r="N30" s="39"/>
    </row>
    <row r="31" spans="1:14" ht="24.75" thickBot="1">
      <c r="A31" s="14"/>
      <c r="B31" s="16" t="s">
        <v>30</v>
      </c>
      <c r="C31" s="17"/>
      <c r="D31" s="16"/>
      <c r="E31" s="16"/>
      <c r="H31" s="215"/>
      <c r="I31" s="14"/>
      <c r="J31" s="231"/>
      <c r="K31" s="232"/>
      <c r="L31" s="233"/>
      <c r="M31" s="33"/>
      <c r="N31" s="39"/>
    </row>
    <row r="32" spans="1:14" ht="24.75" thickBot="1">
      <c r="A32" s="14"/>
      <c r="B32" s="16"/>
      <c r="C32" s="17"/>
      <c r="D32" s="16"/>
      <c r="E32" s="16"/>
      <c r="H32" s="215"/>
      <c r="I32" s="14"/>
      <c r="J32" s="219"/>
      <c r="K32" s="219"/>
      <c r="L32" s="219"/>
      <c r="M32" s="33"/>
      <c r="N32" s="39"/>
    </row>
    <row r="33" spans="1:14" ht="24.75" thickBot="1">
      <c r="A33" s="14"/>
      <c r="B33" s="16" t="s">
        <v>31</v>
      </c>
      <c r="C33" s="17"/>
      <c r="D33" s="16"/>
      <c r="E33" s="16"/>
      <c r="H33" s="215"/>
      <c r="I33" s="14"/>
      <c r="J33" s="273"/>
      <c r="K33" s="274"/>
      <c r="L33" s="275"/>
      <c r="M33" s="33"/>
      <c r="N33" s="39"/>
    </row>
    <row r="34" spans="1:14" ht="24.75" thickBot="1">
      <c r="A34" s="14"/>
      <c r="B34" s="16" t="s">
        <v>32</v>
      </c>
      <c r="C34" s="17"/>
      <c r="D34" s="16"/>
      <c r="E34" s="16"/>
      <c r="H34" s="215"/>
      <c r="I34" s="14"/>
      <c r="J34" s="273"/>
      <c r="K34" s="274"/>
      <c r="L34" s="275"/>
      <c r="M34" s="33"/>
      <c r="N34" s="39"/>
    </row>
    <row r="39" spans="8:11" ht="24">
      <c r="H39" s="3" t="s">
        <v>255</v>
      </c>
      <c r="J39" s="3"/>
      <c r="K39" s="3"/>
    </row>
    <row r="40" spans="8:11" ht="24">
      <c r="H40" s="221" t="s">
        <v>254</v>
      </c>
      <c r="I40" s="221"/>
      <c r="J40" s="221"/>
      <c r="K40" s="221"/>
    </row>
    <row r="41" spans="8:12" ht="24">
      <c r="H41" s="225" t="s">
        <v>256</v>
      </c>
      <c r="I41" s="225"/>
      <c r="J41" s="225"/>
      <c r="K41" s="225"/>
      <c r="L41" s="225"/>
    </row>
  </sheetData>
  <sheetProtection/>
  <mergeCells count="37">
    <mergeCell ref="J33:L33"/>
    <mergeCell ref="J34:L34"/>
    <mergeCell ref="H41:L41"/>
    <mergeCell ref="J19:K19"/>
    <mergeCell ref="H24:I24"/>
    <mergeCell ref="J24:K24"/>
    <mergeCell ref="H26:I26"/>
    <mergeCell ref="J26:K26"/>
    <mergeCell ref="H21:I21"/>
    <mergeCell ref="J21:K21"/>
    <mergeCell ref="H23:I23"/>
    <mergeCell ref="J23:K23"/>
    <mergeCell ref="J30:L30"/>
    <mergeCell ref="J31:L31"/>
    <mergeCell ref="A1:N1"/>
    <mergeCell ref="H12:I12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J11:K11"/>
    <mergeCell ref="J12:K12"/>
    <mergeCell ref="H14:I14"/>
    <mergeCell ref="J14:K14"/>
    <mergeCell ref="H16:I16"/>
    <mergeCell ref="J16:K16"/>
    <mergeCell ref="J17:K17"/>
    <mergeCell ref="J18:K18"/>
    <mergeCell ref="H17:I17"/>
    <mergeCell ref="H19:I19"/>
    <mergeCell ref="H22:I22"/>
    <mergeCell ref="J22:K22"/>
  </mergeCells>
  <printOptions/>
  <pageMargins left="0.3937007874015748" right="0" top="0.5905511811023623" bottom="0" header="0.31496062992125984" footer="0.31496062992125984"/>
  <pageSetup horizontalDpi="300" verticalDpi="300" orientation="portrait" paperSize="9" scale="80" r:id="rId1"/>
  <headerFooter>
    <oddHeader>&amp;Rหน้าที่ &amp;P / &amp;N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pg-pc</dc:creator>
  <cp:keywords/>
  <dc:description/>
  <cp:lastModifiedBy>ฟง</cp:lastModifiedBy>
  <cp:lastPrinted>2018-12-15T02:50:31Z</cp:lastPrinted>
  <dcterms:created xsi:type="dcterms:W3CDTF">2017-05-01T02:16:56Z</dcterms:created>
  <dcterms:modified xsi:type="dcterms:W3CDTF">2019-01-06T13:01:49Z</dcterms:modified>
  <cp:category/>
  <cp:version/>
  <cp:contentType/>
  <cp:contentStatus/>
</cp:coreProperties>
</file>