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คอนกรีต" sheetId="3" r:id="rId3"/>
    <sheet name="ทรายหยาบรองใต้ผิวคอนกรีต" sheetId="4" r:id="rId4"/>
    <sheet name="แบบหล่อคอนกรีต" sheetId="5" r:id="rId5"/>
    <sheet name="รางระบายน้ำ" sheetId="6" r:id="rId6"/>
    <sheet name="สีกันสนิม" sheetId="7" r:id="rId7"/>
  </sheets>
  <definedNames>
    <definedName name="_xlnm.Print_Area" localSheetId="2">'คอนกรีต'!$A$1:$J$66</definedName>
    <definedName name="_xlnm.Print_Area" localSheetId="1">'ค่าวัสดุและดำเนินการ'!$A$1:$L$34</definedName>
    <definedName name="_xlnm.Print_Area" localSheetId="3">'ทรายหยาบรองใต้ผิวคอนกรีต'!$A$1:$J$47</definedName>
    <definedName name="_xlnm.Print_Area" localSheetId="0">'แบบสรุปราคากลาง'!$A$1:$N$67</definedName>
    <definedName name="_xlnm.Print_Area" localSheetId="4">'แบบหล่อคอนกรีต'!$A$1:$H$40</definedName>
    <definedName name="_xlnm.Print_Area" localSheetId="5">'รางระบายน้ำ'!$A$1:$M$42</definedName>
    <definedName name="_xlnm.Print_Area" localSheetId="6">'สีกันสนิม'!$A$1:$J$11</definedName>
    <definedName name="_xlnm.Print_Titles" localSheetId="0">'แบบสรุปราคากลาง'!$1:$8</definedName>
  </definedNames>
  <calcPr fullCalcOnLoad="1"/>
</workbook>
</file>

<file path=xl/comments4.xml><?xml version="1.0" encoding="utf-8"?>
<comments xmlns="http://schemas.openxmlformats.org/spreadsheetml/2006/main">
  <authors>
    <author>P'G</author>
  </authors>
  <commentList>
    <comment ref="B5" authorId="0">
      <text>
        <r>
          <rPr>
            <b/>
            <sz val="9"/>
            <rFont val="Tahoma"/>
            <family val="2"/>
          </rPr>
          <t>P'G:</t>
        </r>
        <r>
          <rPr>
            <sz val="9"/>
            <rFont val="Tahoma"/>
            <family val="2"/>
          </rPr>
          <t xml:space="preserve">
บดอัดแน่นด้วยแรงคน เผื่อ 25 %</t>
        </r>
      </text>
    </comment>
  </commentList>
</comments>
</file>

<file path=xl/comments6.xml><?xml version="1.0" encoding="utf-8"?>
<comments xmlns="http://schemas.openxmlformats.org/spreadsheetml/2006/main">
  <authors>
    <author>pg-pc</author>
  </authors>
  <commentList>
    <comment ref="H8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sharedStrings.xml><?xml version="1.0" encoding="utf-8"?>
<sst xmlns="http://schemas.openxmlformats.org/spreadsheetml/2006/main" count="414" uniqueCount="231">
  <si>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</si>
  <si>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</si>
  <si>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</si>
  <si>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</si>
  <si>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</si>
  <si>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</si>
  <si>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</si>
  <si>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</si>
  <si>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</si>
  <si>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</si>
  <si>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</si>
  <si>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</si>
  <si>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</si>
  <si>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</si>
  <si>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</si>
  <si>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</si>
  <si>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</si>
  <si>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</si>
  <si>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</si>
  <si>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</si>
  <si>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</si>
  <si>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</si>
  <si>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</si>
  <si>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</si>
  <si>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</si>
  <si>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</si>
  <si>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</si>
  <si>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</si>
  <si>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</si>
  <si>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</si>
  <si>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</si>
  <si>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</si>
  <si>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</si>
  <si>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</si>
  <si>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</si>
  <si>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</si>
  <si>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</si>
  <si>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</si>
  <si>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</si>
  <si>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</si>
  <si>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</si>
  <si>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</si>
  <si>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</si>
  <si>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</si>
  <si>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</si>
  <si>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</si>
  <si>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</si>
  <si>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</si>
  <si>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</si>
  <si>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</si>
  <si>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</si>
  <si>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</si>
  <si>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</si>
  <si>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</si>
  <si>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</si>
  <si>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</si>
  <si>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</si>
  <si>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</si>
  <si>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</si>
  <si>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</si>
  <si>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</si>
  <si>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</si>
  <si>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</si>
  <si>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</si>
  <si>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</si>
  <si>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</si>
  <si>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</si>
  <si>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</si>
  <si>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</si>
  <si>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</si>
  <si>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</si>
  <si>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</si>
  <si>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</si>
  <si>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</si>
  <si>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</si>
  <si>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 xml:space="preserve">  =</t>
  </si>
  <si>
    <t>ค่าใช้จ่ายรวม</t>
  </si>
  <si>
    <t>ค่างานต้นทุน</t>
  </si>
  <si>
    <t>/</t>
  </si>
  <si>
    <t>คอนกรีตหยาบ</t>
  </si>
  <si>
    <t>บาท/เมตร</t>
  </si>
  <si>
    <t>กก.</t>
  </si>
  <si>
    <t xml:space="preserve">Joint  Sealer  </t>
  </si>
  <si>
    <t>ลิตร</t>
  </si>
  <si>
    <t>แผ่นพลาสติก</t>
  </si>
  <si>
    <t>x</t>
  </si>
  <si>
    <t>บาท/ลบ.ม.</t>
  </si>
  <si>
    <t xml:space="preserve"> =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</si>
  <si>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</si>
  <si>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</si>
  <si>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</si>
  <si>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</si>
  <si>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</si>
  <si>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</si>
  <si>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</si>
  <si>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</si>
  <si>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</si>
  <si>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</si>
  <si>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</si>
  <si>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</si>
  <si>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</si>
  <si>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</si>
  <si>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</si>
  <si>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</si>
  <si>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</si>
  <si>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</si>
  <si>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</si>
  <si>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</si>
  <si>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</si>
  <si>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</si>
  <si>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</si>
  <si>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</si>
  <si>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</si>
  <si>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</si>
  <si>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</si>
  <si>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</si>
  <si>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</si>
  <si>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</si>
  <si>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</si>
  <si>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</si>
  <si>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</si>
  <si>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</si>
  <si>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</si>
  <si>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</si>
  <si>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</si>
  <si>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ค่างานต้นทุนที่ใช้</t>
  </si>
  <si>
    <t>กม.</t>
  </si>
  <si>
    <t xml:space="preserve">... รวมค่างานต้นทุน </t>
  </si>
  <si>
    <t>รวมค่าก่อสร้าง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</si>
  <si>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</si>
  <si>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</si>
  <si>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</si>
  <si>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</si>
  <si>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</si>
  <si>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</si>
  <si>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</si>
  <si>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</si>
  <si>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</si>
  <si>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</si>
  <si>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</si>
  <si>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</si>
  <si>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</si>
  <si>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</si>
  <si>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</si>
  <si>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</si>
  <si>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</si>
  <si>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</si>
  <si>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 xml:space="preserve">งานรางระบายน้ำ คสล. </t>
  </si>
  <si>
    <t>ลบม  @</t>
  </si>
  <si>
    <t>กก.  @</t>
  </si>
  <si>
    <t>เหล็กเสริม RBØ 9 มม.</t>
  </si>
  <si>
    <t>ลวดผูกเหล็ก</t>
  </si>
  <si>
    <t>ไม้แบบ 1</t>
  </si>
  <si>
    <t>ตร.ม.  @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</si>
  <si>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</si>
  <si>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</si>
  <si>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ลบ.ม.  @</t>
  </si>
  <si>
    <t>เมตร. @</t>
  </si>
  <si>
    <t>ทรายหยาบอัดแน่น</t>
  </si>
  <si>
    <t>ฝา</t>
  </si>
  <si>
    <t>บาท/ฝา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</si>
  <si>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</si>
  <si>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</si>
  <si>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</si>
  <si>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</si>
  <si>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</si>
  <si>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</si>
  <si>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</si>
  <si>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</si>
  <si>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</si>
  <si>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</si>
  <si>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</si>
  <si>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</si>
  <si>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</si>
  <si>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 xml:space="preserve">Joint  Filler  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</si>
  <si>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</si>
  <si>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</si>
  <si>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</si>
  <si>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</si>
  <si>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</si>
  <si>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</si>
  <si>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</si>
  <si>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</si>
  <si>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</si>
  <si>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</si>
  <si>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</si>
  <si>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</si>
  <si>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</si>
  <si>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โครงการ      : ปรับปรุงแก้ไขรางระบายน้ำ บ้านป่ากลาง หมู่ที่ 7 (บริเวณบ้านนายสุรเดชถึงบ้านผู้ใหญ่สมชาย)</t>
  </si>
  <si>
    <t>ที่ตั้งโครงการ : บ้านป่ากลาง  หมู่ที่ 7  ตำบลป่ากลาง  อำเภอปัว  จังหวัดน่าน</t>
  </si>
  <si>
    <t xml:space="preserve">ขุดดิน (ประมาณ) </t>
  </si>
  <si>
    <t>เหล็กเสริม RBØ 6 มม.</t>
  </si>
  <si>
    <t>เหล็ก RB Ø 9 มม.</t>
  </si>
  <si>
    <t>งานทรายรองพื้น</t>
  </si>
  <si>
    <t xml:space="preserve">ก.  รางระบายน้ำ คสล. คิดจากความยาว  </t>
  </si>
  <si>
    <t xml:space="preserve">ข.  ฝาปิดตะแกรงเหล็ก คิดจากจำนวน </t>
  </si>
  <si>
    <t>แผ่นเหล็ก 9 มม. X 10 ซม.</t>
  </si>
  <si>
    <t>ค่าเชื่อม</t>
  </si>
  <si>
    <t>ตร.ม. @</t>
  </si>
  <si>
    <t>งานรางระบายน้ำ</t>
  </si>
  <si>
    <t>จุด   @</t>
  </si>
  <si>
    <t>แผ่นเหล็ก 6 มม. X 5 ซม.</t>
  </si>
  <si>
    <t xml:space="preserve">2.1 รางระบายน้ำ คสล. </t>
  </si>
  <si>
    <t>2.2 ฝาปิดตะแกรงเหล็ก</t>
  </si>
  <si>
    <t>งานรื้อถอนรางระบายน้ำ</t>
  </si>
  <si>
    <t>ปริมาณงาน   : รื้อถอนรางระบายน้ำเดิม  พร้อมก่อสร้างใหม่ความยาว 115.00 เมตร ตามแบบอบต.ป่ากลางเลขที่ 17/2561</t>
  </si>
  <si>
    <t>เหล็กฉาก 50x50x6 มม.</t>
  </si>
  <si>
    <t xml:space="preserve">เหล็กฉาก 50x50x6 มม. </t>
  </si>
  <si>
    <t>พาณิชย์ ฯ น่าน ข้อ3</t>
  </si>
  <si>
    <t>พาณิชย์ ฯ น่าน ข้อ19</t>
  </si>
  <si>
    <t>พาณิชย์ ฯ น่าน ข้อ20</t>
  </si>
  <si>
    <t>พาณิชย์ ฯ น่าน ข้อ131</t>
  </si>
  <si>
    <t>พาณิชย์ ฯ น่าน ข้อ128</t>
  </si>
  <si>
    <t xml:space="preserve">1.1 รื้อถอนรางระบายน้ำ คสล. (รื้อขนไป) </t>
  </si>
  <si>
    <t>( นายนัฏฐิชัย  ใจมั่น )</t>
  </si>
  <si>
    <r>
      <t xml:space="preserve">งานสีน้ำมันกันสนิมเหล็ก </t>
    </r>
    <r>
      <rPr>
        <sz val="16"/>
        <rFont val="TH SarabunPSK"/>
        <family val="2"/>
      </rPr>
      <t>(รองพื้นกันสนิม 2 เที่ยว + สีน้ำมัน 1 เที่ยว)</t>
    </r>
  </si>
  <si>
    <t>รวมวัสดุทาสีน้ำมันกันสนิมเหล็ก จำนวน</t>
  </si>
  <si>
    <t xml:space="preserve">สีทาทับหน้า 1 เที่ยว  จำนวน               0.038  GL.@ </t>
  </si>
  <si>
    <t>สีรองพื้นกันสนิม 2 เที่ยว  จำนวน          0.076  GL.@</t>
  </si>
  <si>
    <t>น้ำมันสน หรือน้ำมันซักแห้ง จำนวน        0.023  GL.@</t>
  </si>
  <si>
    <t>บาท/GL.</t>
  </si>
  <si>
    <t xml:space="preserve">บาท/ตร.ม. </t>
  </si>
  <si>
    <t>ค่าสีกันสนิม 2 ชั้น + ค่าสีน้ำมัน 1 ชั้น</t>
  </si>
  <si>
    <t>เขตฝนตกปกติ   ราคาน้ำมันโซล่าเฉลี่ยที่อำเภอเมือง  27.00 - 27.99  บาท/ลิตร</t>
  </si>
  <si>
    <t>พาณิชย์ ฯ น่าน ข้อ29</t>
  </si>
  <si>
    <t>พาณิชย์ ฯ น่าน ข้อ150</t>
  </si>
  <si>
    <t>พาณิชย์ ฯ น่าน ข้อ153</t>
  </si>
  <si>
    <t>พาณิชย์ ฯ น่าน ข้อ156</t>
  </si>
  <si>
    <t>พาณิชย์ ฯ น่าน ข้อ144</t>
  </si>
  <si>
    <t>กำหนดราคากลางวันที่      ธันวาคม  2561</t>
  </si>
  <si>
    <t>ระยะเวลาดำเนินการ  45 วัน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</si>
</sst>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_(* #,##0.000_);_(* \(#,##0.000\);_(* &quot;-&quot;??_);_(@_)"/>
    <numFmt numFmtId="203" formatCode="_-* #,##0_-;\-* #,##0_-;_-* &quot;-&quot;??_-;_-@_-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b/>
      <u val="single"/>
      <sz val="16"/>
      <name val="TH SarabunPSK"/>
      <family val="2"/>
    </font>
    <font>
      <sz val="11"/>
      <color indexed="8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6"/>
      <color indexed="18"/>
      <name val="TH SarabunPSK"/>
      <family val="2"/>
    </font>
    <font>
      <sz val="11"/>
      <name val="Tahoma"/>
      <family val="2"/>
    </font>
    <font>
      <sz val="16"/>
      <color indexed="12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</font>
    <font>
      <sz val="16"/>
      <color rgb="FF0000FF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/>
      <right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6" fillId="24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5" borderId="6" applyNumberFormat="0" applyAlignment="0" applyProtection="0"/>
    <xf numFmtId="0" fontId="62" fillId="0" borderId="7" applyNumberFormat="0" applyFill="0" applyAlignment="0" applyProtection="0"/>
    <xf numFmtId="0" fontId="63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64" fillId="27" borderId="5" applyNumberFormat="0" applyAlignment="0" applyProtection="0"/>
    <xf numFmtId="0" fontId="65" fillId="28" borderId="0" applyNumberFormat="0" applyBorder="0" applyAlignment="0" applyProtection="0"/>
    <xf numFmtId="9" fontId="5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68" fillId="24" borderId="9" applyNumberFormat="0" applyAlignment="0" applyProtection="0"/>
    <xf numFmtId="0" fontId="0" fillId="36" borderId="10" applyNumberFormat="0" applyFont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0" xfId="139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72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Alignment="1">
      <alignment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3" fontId="72" fillId="0" borderId="0" xfId="59" applyFont="1" applyBorder="1" applyAlignment="1">
      <alignment horizontal="right" indent="1"/>
    </xf>
    <xf numFmtId="0" fontId="7" fillId="0" borderId="0" xfId="0" applyFont="1" applyAlignment="1" applyProtection="1" quotePrefix="1">
      <alignment horizontal="left"/>
      <protection hidden="1"/>
    </xf>
    <xf numFmtId="43" fontId="72" fillId="0" borderId="20" xfId="59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7" fillId="0" borderId="0" xfId="133" applyFont="1">
      <alignment/>
      <protection/>
    </xf>
    <xf numFmtId="0" fontId="30" fillId="0" borderId="0" xfId="133" applyFont="1">
      <alignment/>
      <protection/>
    </xf>
    <xf numFmtId="0" fontId="30" fillId="0" borderId="0" xfId="133" applyFont="1" applyFill="1" applyAlignment="1">
      <alignment horizontal="center"/>
      <protection/>
    </xf>
    <xf numFmtId="0" fontId="73" fillId="0" borderId="0" xfId="0" applyFont="1" applyAlignment="1">
      <alignment/>
    </xf>
    <xf numFmtId="0" fontId="7" fillId="0" borderId="0" xfId="133" applyFont="1" applyBorder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0" fontId="7" fillId="0" borderId="0" xfId="133" applyFont="1" applyAlignment="1">
      <alignment horizontal="left"/>
      <protection/>
    </xf>
    <xf numFmtId="2" fontId="7" fillId="0" borderId="0" xfId="133" applyNumberFormat="1" applyFont="1" applyBorder="1" applyAlignment="1">
      <alignment/>
      <protection/>
    </xf>
    <xf numFmtId="0" fontId="7" fillId="0" borderId="0" xfId="133" applyFont="1" applyBorder="1">
      <alignment/>
      <protection/>
    </xf>
    <xf numFmtId="2" fontId="7" fillId="0" borderId="0" xfId="133" applyNumberFormat="1" applyFont="1" applyBorder="1" applyAlignment="1">
      <alignment horizontal="center"/>
      <protection/>
    </xf>
    <xf numFmtId="187" fontId="7" fillId="0" borderId="0" xfId="59" applyNumberFormat="1" applyFont="1" applyBorder="1" applyAlignment="1">
      <alignment horizontal="center"/>
    </xf>
    <xf numFmtId="0" fontId="7" fillId="0" borderId="24" xfId="133" applyFont="1" applyBorder="1">
      <alignment/>
      <protection/>
    </xf>
    <xf numFmtId="0" fontId="7" fillId="0" borderId="1" xfId="133" applyFont="1" applyBorder="1" applyAlignment="1">
      <alignment horizontal="center"/>
      <protection/>
    </xf>
    <xf numFmtId="0" fontId="7" fillId="0" borderId="4" xfId="133" applyFont="1" applyBorder="1" applyAlignment="1">
      <alignment horizontal="center"/>
      <protection/>
    </xf>
    <xf numFmtId="0" fontId="7" fillId="0" borderId="16" xfId="133" applyFont="1" applyBorder="1" applyAlignment="1">
      <alignment/>
      <protection/>
    </xf>
    <xf numFmtId="187" fontId="7" fillId="0" borderId="25" xfId="133" applyNumberFormat="1" applyFont="1" applyBorder="1" applyAlignment="1">
      <alignment horizontal="center"/>
      <protection/>
    </xf>
    <xf numFmtId="187" fontId="7" fillId="0" borderId="1" xfId="59" applyNumberFormat="1" applyFont="1" applyBorder="1" applyAlignment="1">
      <alignment horizontal="center"/>
    </xf>
    <xf numFmtId="187" fontId="7" fillId="0" borderId="4" xfId="59" applyNumberFormat="1" applyFont="1" applyBorder="1" applyAlignment="1">
      <alignment/>
    </xf>
    <xf numFmtId="187" fontId="7" fillId="0" borderId="26" xfId="133" applyNumberFormat="1" applyFont="1" applyBorder="1" applyAlignment="1">
      <alignment horizontal="center"/>
      <protection/>
    </xf>
    <xf numFmtId="0" fontId="7" fillId="0" borderId="19" xfId="133" applyFont="1" applyBorder="1" applyAlignment="1">
      <alignment/>
      <protection/>
    </xf>
    <xf numFmtId="0" fontId="7" fillId="0" borderId="20" xfId="133" applyFont="1" applyBorder="1">
      <alignment/>
      <protection/>
    </xf>
    <xf numFmtId="0" fontId="7" fillId="0" borderId="20" xfId="133" applyFont="1" applyBorder="1" applyAlignment="1">
      <alignment horizontal="center"/>
      <protection/>
    </xf>
    <xf numFmtId="0" fontId="7" fillId="37" borderId="1" xfId="133" applyFont="1" applyFill="1" applyBorder="1" applyAlignment="1">
      <alignment horizontal="center"/>
      <protection/>
    </xf>
    <xf numFmtId="0" fontId="7" fillId="37" borderId="4" xfId="133" applyFont="1" applyFill="1" applyBorder="1" applyAlignment="1">
      <alignment horizontal="center"/>
      <protection/>
    </xf>
    <xf numFmtId="187" fontId="7" fillId="0" borderId="4" xfId="59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43" fontId="7" fillId="0" borderId="0" xfId="59" applyFont="1" applyBorder="1" applyAlignment="1">
      <alignment vertical="center"/>
    </xf>
    <xf numFmtId="43" fontId="7" fillId="0" borderId="20" xfId="59" applyNumberFormat="1" applyFont="1" applyBorder="1" applyAlignment="1">
      <alignment/>
    </xf>
    <xf numFmtId="43" fontId="25" fillId="0" borderId="27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2" fontId="7" fillId="0" borderId="0" xfId="59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02" fontId="74" fillId="37" borderId="28" xfId="59" applyNumberFormat="1" applyFont="1" applyFill="1" applyBorder="1" applyAlignment="1" applyProtection="1">
      <alignment/>
      <protection hidden="1"/>
    </xf>
    <xf numFmtId="202" fontId="74" fillId="37" borderId="29" xfId="59" applyNumberFormat="1" applyFont="1" applyFill="1" applyBorder="1" applyAlignment="1" applyProtection="1">
      <alignment/>
      <protection hidden="1"/>
    </xf>
    <xf numFmtId="187" fontId="74" fillId="37" borderId="29" xfId="59" applyNumberFormat="1" applyFont="1" applyFill="1" applyBorder="1" applyAlignment="1" applyProtection="1">
      <alignment/>
      <protection hidden="1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30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31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0" fontId="7" fillId="0" borderId="0" xfId="0" applyFont="1" applyAlignment="1" applyProtection="1">
      <alignment horizontal="left"/>
      <protection hidden="1"/>
    </xf>
    <xf numFmtId="202" fontId="7" fillId="0" borderId="28" xfId="59" applyNumberFormat="1" applyFont="1" applyFill="1" applyBorder="1" applyAlignment="1" applyProtection="1">
      <alignment/>
      <protection hidden="1"/>
    </xf>
    <xf numFmtId="187" fontId="7" fillId="0" borderId="28" xfId="59" applyNumberFormat="1" applyFont="1" applyBorder="1" applyAlignment="1" applyProtection="1">
      <alignment/>
      <protection hidden="1"/>
    </xf>
    <xf numFmtId="43" fontId="72" fillId="0" borderId="29" xfId="59" applyFont="1" applyBorder="1" applyAlignment="1">
      <alignment horizontal="right" indent="1"/>
    </xf>
    <xf numFmtId="43" fontId="7" fillId="38" borderId="32" xfId="0" applyNumberFormat="1" applyFont="1" applyFill="1" applyBorder="1" applyAlignment="1">
      <alignment/>
    </xf>
    <xf numFmtId="187" fontId="7" fillId="0" borderId="28" xfId="59" applyNumberFormat="1" applyFont="1" applyFill="1" applyBorder="1" applyAlignment="1" applyProtection="1">
      <alignment/>
      <protection hidden="1"/>
    </xf>
    <xf numFmtId="0" fontId="75" fillId="0" borderId="0" xfId="0" applyFont="1" applyAlignment="1">
      <alignment/>
    </xf>
    <xf numFmtId="43" fontId="72" fillId="0" borderId="0" xfId="59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203" fontId="7" fillId="0" borderId="0" xfId="59" applyNumberFormat="1" applyFont="1" applyBorder="1" applyAlignment="1">
      <alignment/>
    </xf>
    <xf numFmtId="43" fontId="74" fillId="0" borderId="0" xfId="59" applyFont="1" applyBorder="1" applyAlignment="1">
      <alignment horizont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7" fontId="7" fillId="0" borderId="0" xfId="59" applyNumberFormat="1" applyFont="1" applyBorder="1" applyAlignment="1">
      <alignment/>
    </xf>
    <xf numFmtId="43" fontId="7" fillId="0" borderId="0" xfId="59" applyFont="1" applyFill="1" applyBorder="1" applyAlignment="1">
      <alignment/>
    </xf>
    <xf numFmtId="187" fontId="7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3" fontId="76" fillId="0" borderId="0" xfId="59" applyFont="1" applyBorder="1" applyAlignment="1">
      <alignment horizontal="center"/>
    </xf>
    <xf numFmtId="0" fontId="72" fillId="0" borderId="0" xfId="0" applyFont="1" applyBorder="1" applyAlignment="1">
      <alignment horizontal="right"/>
    </xf>
    <xf numFmtId="43" fontId="74" fillId="38" borderId="27" xfId="0" applyNumberFormat="1" applyFont="1" applyFill="1" applyBorder="1" applyAlignment="1">
      <alignment/>
    </xf>
    <xf numFmtId="43" fontId="7" fillId="0" borderId="0" xfId="59" applyNumberFormat="1" applyFont="1" applyBorder="1" applyAlignment="1">
      <alignment/>
    </xf>
    <xf numFmtId="187" fontId="7" fillId="37" borderId="0" xfId="59" applyNumberFormat="1" applyFont="1" applyFill="1" applyBorder="1" applyAlignment="1">
      <alignment/>
    </xf>
    <xf numFmtId="43" fontId="7" fillId="0" borderId="3" xfId="59" applyFont="1" applyBorder="1" applyAlignment="1">
      <alignment vertical="center"/>
    </xf>
    <xf numFmtId="43" fontId="25" fillId="0" borderId="0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right" indent="1"/>
    </xf>
    <xf numFmtId="2" fontId="7" fillId="37" borderId="33" xfId="133" applyNumberFormat="1" applyFont="1" applyFill="1" applyBorder="1" applyAlignment="1">
      <alignment horizontal="center"/>
      <protection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59" applyNumberFormat="1" applyFont="1" applyBorder="1" applyAlignment="1">
      <alignment vertical="center"/>
    </xf>
    <xf numFmtId="0" fontId="72" fillId="0" borderId="15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43" fontId="72" fillId="0" borderId="0" xfId="59" applyFont="1" applyAlignment="1">
      <alignment/>
    </xf>
    <xf numFmtId="4" fontId="72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37" borderId="4" xfId="59" applyNumberFormat="1" applyFont="1" applyFill="1" applyBorder="1" applyAlignment="1">
      <alignment/>
    </xf>
    <xf numFmtId="187" fontId="7" fillId="37" borderId="1" xfId="59" applyNumberFormat="1" applyFont="1" applyFill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25" xfId="0" applyFont="1" applyBorder="1" applyAlignment="1">
      <alignment horizontal="left"/>
    </xf>
    <xf numFmtId="0" fontId="72" fillId="0" borderId="25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43" fontId="7" fillId="37" borderId="34" xfId="59" applyFont="1" applyFill="1" applyBorder="1" applyAlignment="1">
      <alignment horizontal="center"/>
    </xf>
    <xf numFmtId="43" fontId="72" fillId="0" borderId="34" xfId="59" applyFont="1" applyBorder="1" applyAlignment="1">
      <alignment/>
    </xf>
    <xf numFmtId="43" fontId="72" fillId="0" borderId="34" xfId="59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" fillId="0" borderId="26" xfId="142" applyFont="1" applyBorder="1">
      <alignment/>
      <protection/>
    </xf>
    <xf numFmtId="0" fontId="72" fillId="0" borderId="26" xfId="0" applyFont="1" applyBorder="1" applyAlignment="1">
      <alignment/>
    </xf>
    <xf numFmtId="0" fontId="72" fillId="0" borderId="37" xfId="0" applyFont="1" applyBorder="1" applyAlignment="1">
      <alignment/>
    </xf>
    <xf numFmtId="43" fontId="7" fillId="37" borderId="36" xfId="59" applyFont="1" applyFill="1" applyBorder="1" applyAlignment="1">
      <alignment/>
    </xf>
    <xf numFmtId="43" fontId="72" fillId="0" borderId="36" xfId="59" applyFont="1" applyBorder="1" applyAlignment="1">
      <alignment/>
    </xf>
    <xf numFmtId="43" fontId="72" fillId="0" borderId="36" xfId="59" applyFont="1" applyBorder="1" applyAlignment="1">
      <alignment horizontal="center"/>
    </xf>
    <xf numFmtId="0" fontId="7" fillId="0" borderId="26" xfId="144" applyFont="1" applyBorder="1">
      <alignment/>
      <protection/>
    </xf>
    <xf numFmtId="0" fontId="7" fillId="0" borderId="26" xfId="145" applyFont="1" applyBorder="1">
      <alignment/>
      <protection/>
    </xf>
    <xf numFmtId="43" fontId="74" fillId="37" borderId="36" xfId="59" applyFont="1" applyFill="1" applyBorder="1" applyAlignment="1">
      <alignment/>
    </xf>
    <xf numFmtId="0" fontId="72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2" fillId="0" borderId="3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2" fillId="0" borderId="40" xfId="0" applyFont="1" applyBorder="1" applyAlignment="1">
      <alignment/>
    </xf>
    <xf numFmtId="0" fontId="72" fillId="0" borderId="41" xfId="0" applyFont="1" applyBorder="1" applyAlignment="1">
      <alignment/>
    </xf>
    <xf numFmtId="0" fontId="72" fillId="0" borderId="38" xfId="0" applyFont="1" applyBorder="1" applyAlignment="1">
      <alignment/>
    </xf>
    <xf numFmtId="43" fontId="72" fillId="0" borderId="38" xfId="59" applyFont="1" applyBorder="1" applyAlignment="1">
      <alignment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2" fillId="37" borderId="36" xfId="59" applyFont="1" applyFill="1" applyBorder="1" applyAlignment="1">
      <alignment/>
    </xf>
    <xf numFmtId="43" fontId="7" fillId="37" borderId="36" xfId="59" applyFont="1" applyFill="1" applyBorder="1" applyAlignment="1">
      <alignment horizontal="right" vertical="center" indent="1"/>
    </xf>
    <xf numFmtId="43" fontId="74" fillId="0" borderId="36" xfId="59" applyFont="1" applyFill="1" applyBorder="1" applyAlignment="1">
      <alignment/>
    </xf>
    <xf numFmtId="0" fontId="72" fillId="0" borderId="0" xfId="0" applyFont="1" applyAlignment="1">
      <alignment horizontal="center"/>
    </xf>
    <xf numFmtId="0" fontId="7" fillId="0" borderId="0" xfId="133" applyFont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0" fontId="72" fillId="0" borderId="0" xfId="0" applyFont="1" applyBorder="1" applyAlignment="1">
      <alignment horizontal="left"/>
    </xf>
    <xf numFmtId="0" fontId="72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7" fillId="0" borderId="34" xfId="0" applyFont="1" applyBorder="1" applyAlignment="1">
      <alignment horizontal="left"/>
    </xf>
    <xf numFmtId="0" fontId="77" fillId="0" borderId="36" xfId="0" applyFont="1" applyBorder="1" applyAlignment="1">
      <alignment horizontal="left"/>
    </xf>
    <xf numFmtId="0" fontId="72" fillId="0" borderId="36" xfId="0" applyFont="1" applyBorder="1" applyAlignment="1">
      <alignment horizontal="left"/>
    </xf>
    <xf numFmtId="0" fontId="77" fillId="0" borderId="36" xfId="0" applyFont="1" applyBorder="1" applyAlignment="1">
      <alignment/>
    </xf>
    <xf numFmtId="0" fontId="72" fillId="0" borderId="0" xfId="0" applyFont="1" applyAlignment="1">
      <alignment horizontal="center"/>
    </xf>
    <xf numFmtId="187" fontId="7" fillId="0" borderId="0" xfId="59" applyNumberFormat="1" applyFont="1" applyFill="1" applyBorder="1" applyAlignment="1" applyProtection="1">
      <alignment/>
      <protection hidden="1"/>
    </xf>
    <xf numFmtId="0" fontId="78" fillId="0" borderId="0" xfId="0" applyFont="1" applyAlignment="1">
      <alignment horizontal="center"/>
    </xf>
    <xf numFmtId="0" fontId="7" fillId="37" borderId="33" xfId="0" applyFont="1" applyFill="1" applyBorder="1" applyAlignment="1">
      <alignment/>
    </xf>
    <xf numFmtId="0" fontId="72" fillId="0" borderId="0" xfId="0" applyFont="1" applyAlignment="1">
      <alignment horizontal="center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30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4" fontId="72" fillId="0" borderId="0" xfId="0" applyNumberFormat="1" applyFont="1" applyAlignment="1">
      <alignment horizontal="center"/>
    </xf>
    <xf numFmtId="43" fontId="7" fillId="0" borderId="30" xfId="59" applyFont="1" applyBorder="1" applyAlignment="1">
      <alignment horizontal="center" vertical="center"/>
    </xf>
    <xf numFmtId="43" fontId="7" fillId="0" borderId="23" xfId="59" applyFont="1" applyBorder="1" applyAlignment="1">
      <alignment horizontal="center" vertical="center"/>
    </xf>
    <xf numFmtId="201" fontId="7" fillId="37" borderId="42" xfId="0" applyNumberFormat="1" applyFont="1" applyFill="1" applyBorder="1" applyAlignment="1">
      <alignment horizontal="center" vertical="center"/>
    </xf>
    <xf numFmtId="201" fontId="7" fillId="37" borderId="2" xfId="0" applyNumberFormat="1" applyFont="1" applyFill="1" applyBorder="1" applyAlignment="1">
      <alignment horizontal="center" vertical="center"/>
    </xf>
    <xf numFmtId="201" fontId="7" fillId="37" borderId="43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0" fontId="72" fillId="0" borderId="30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" fillId="0" borderId="14" xfId="133" applyFont="1" applyBorder="1" applyAlignment="1">
      <alignment horizontal="center" vertical="center"/>
      <protection/>
    </xf>
    <xf numFmtId="0" fontId="7" fillId="0" borderId="18" xfId="133" applyFont="1" applyBorder="1" applyAlignment="1">
      <alignment horizontal="center" vertical="center"/>
      <protection/>
    </xf>
    <xf numFmtId="0" fontId="7" fillId="0" borderId="30" xfId="133" applyFont="1" applyBorder="1" applyAlignment="1">
      <alignment horizontal="center" vertical="center"/>
      <protection/>
    </xf>
    <xf numFmtId="0" fontId="7" fillId="0" borderId="22" xfId="133" applyFont="1" applyBorder="1" applyAlignment="1">
      <alignment horizontal="center" vertical="center"/>
      <protection/>
    </xf>
    <xf numFmtId="0" fontId="7" fillId="0" borderId="19" xfId="133" applyFont="1" applyBorder="1" applyAlignment="1">
      <alignment horizontal="center" vertical="center"/>
      <protection/>
    </xf>
    <xf numFmtId="0" fontId="7" fillId="0" borderId="20" xfId="133" applyFont="1" applyBorder="1" applyAlignment="1">
      <alignment horizontal="center" vertical="center"/>
      <protection/>
    </xf>
    <xf numFmtId="0" fontId="7" fillId="0" borderId="1" xfId="133" applyFont="1" applyBorder="1" applyAlignment="1">
      <alignment horizontal="center"/>
      <protection/>
    </xf>
    <xf numFmtId="0" fontId="7" fillId="0" borderId="3" xfId="133" applyFont="1" applyBorder="1" applyAlignment="1">
      <alignment horizontal="center"/>
      <protection/>
    </xf>
    <xf numFmtId="4" fontId="7" fillId="37" borderId="33" xfId="133" applyNumberFormat="1" applyFont="1" applyFill="1" applyBorder="1" applyAlignment="1">
      <alignment horizontal="center"/>
      <protection/>
    </xf>
    <xf numFmtId="4" fontId="7" fillId="0" borderId="33" xfId="133" applyNumberFormat="1" applyFont="1" applyFill="1" applyBorder="1" applyAlignment="1">
      <alignment horizontal="center"/>
      <protection/>
    </xf>
    <xf numFmtId="2" fontId="7" fillId="0" borderId="33" xfId="133" applyNumberFormat="1" applyFont="1" applyFill="1" applyBorder="1" applyAlignment="1">
      <alignment horizontal="center"/>
      <protection/>
    </xf>
    <xf numFmtId="4" fontId="7" fillId="0" borderId="26" xfId="133" applyNumberFormat="1" applyFont="1" applyFill="1" applyBorder="1" applyAlignment="1">
      <alignment horizontal="center"/>
      <protection/>
    </xf>
    <xf numFmtId="4" fontId="7" fillId="37" borderId="26" xfId="133" applyNumberFormat="1" applyFont="1" applyFill="1" applyBorder="1" applyAlignment="1">
      <alignment horizontal="center"/>
      <protection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110" zoomScaleSheetLayoutView="110" zoomScalePageLayoutView="0" workbookViewId="0" topLeftCell="A1">
      <selection activeCell="E60" sqref="E60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9.7109375" style="1" customWidth="1"/>
    <col min="6" max="6" width="6.8515625" style="1" customWidth="1"/>
    <col min="7" max="7" width="8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3.2812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ht="24">
      <c r="A3" s="1" t="str">
        <f>ค่าวัสดุและดำเนินการ!A3</f>
        <v>โครงการ      : ปรับปรุงแก้ไขรางระบายน้ำ บ้านป่ากลาง หมู่ที่ 7 (บริเวณบ้านนายสุรเดชถึงบ้านผู้ใหญ่สมชาย)</v>
      </c>
    </row>
    <row r="4" ht="24">
      <c r="A4" s="1" t="str">
        <f>ค่าวัสดุและดำเนินการ!A4</f>
        <v>ปริมาณงาน   : รื้อถอนรางระบายน้ำเดิม  พร้อมก่อสร้างใหม่ความยาว 115.00 เมตร ตามแบบอบต.ป่ากลางเลขที่ 17/2561</v>
      </c>
    </row>
    <row r="5" spans="1:7" ht="24">
      <c r="A5" s="1" t="str">
        <f>ค่าวัสดุและดำเนินการ!A5</f>
        <v>ที่ตั้งโครงการ : บ้านป่ากลาง  หมู่ที่ 7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229</v>
      </c>
      <c r="G8" s="1" t="s">
        <v>230</v>
      </c>
    </row>
    <row r="9" spans="1:14" ht="24">
      <c r="A9" s="197" t="s">
        <v>22</v>
      </c>
      <c r="B9" s="199" t="s">
        <v>0</v>
      </c>
      <c r="C9" s="199"/>
      <c r="D9" s="199"/>
      <c r="E9" s="200"/>
      <c r="F9" s="197" t="s">
        <v>1</v>
      </c>
      <c r="G9" s="203" t="s">
        <v>23</v>
      </c>
      <c r="H9" s="205" t="s">
        <v>67</v>
      </c>
      <c r="I9" s="206"/>
      <c r="J9" s="205" t="s">
        <v>24</v>
      </c>
      <c r="K9" s="206"/>
      <c r="L9" s="209" t="s">
        <v>25</v>
      </c>
      <c r="M9" s="19" t="s">
        <v>26</v>
      </c>
      <c r="N9" s="209" t="s">
        <v>74</v>
      </c>
    </row>
    <row r="10" spans="1:14" ht="24">
      <c r="A10" s="198"/>
      <c r="B10" s="201"/>
      <c r="C10" s="201"/>
      <c r="D10" s="201"/>
      <c r="E10" s="202"/>
      <c r="F10" s="198"/>
      <c r="G10" s="204"/>
      <c r="H10" s="207" t="s">
        <v>68</v>
      </c>
      <c r="I10" s="208"/>
      <c r="J10" s="207"/>
      <c r="K10" s="208"/>
      <c r="L10" s="210"/>
      <c r="M10" s="20" t="s">
        <v>27</v>
      </c>
      <c r="N10" s="210"/>
    </row>
    <row r="11" spans="1:14" ht="24">
      <c r="A11" s="90">
        <v>1</v>
      </c>
      <c r="B11" s="91" t="s">
        <v>204</v>
      </c>
      <c r="C11" s="22"/>
      <c r="D11" s="23"/>
      <c r="E11" s="24"/>
      <c r="F11" s="25"/>
      <c r="G11" s="26"/>
      <c r="H11" s="94"/>
      <c r="I11" s="95"/>
      <c r="J11" s="216"/>
      <c r="K11" s="217"/>
      <c r="L11" s="27"/>
      <c r="M11" s="27"/>
      <c r="N11" s="28"/>
    </row>
    <row r="12" spans="1:14" ht="24">
      <c r="A12" s="21"/>
      <c r="B12" s="30" t="s">
        <v>213</v>
      </c>
      <c r="C12" s="30"/>
      <c r="D12" s="29"/>
      <c r="E12" s="31"/>
      <c r="F12" s="21" t="s">
        <v>33</v>
      </c>
      <c r="G12" s="26">
        <v>115</v>
      </c>
      <c r="H12" s="211">
        <v>75</v>
      </c>
      <c r="I12" s="212"/>
      <c r="J12" s="211">
        <f>ROUND(H12*G12,2)</f>
        <v>8625</v>
      </c>
      <c r="K12" s="212"/>
      <c r="L12" s="32">
        <f>$J$33</f>
        <v>1.3592</v>
      </c>
      <c r="M12" s="41">
        <f>ROUNDDOWN(H12*L12,2)</f>
        <v>101.94</v>
      </c>
      <c r="N12" s="27">
        <f>ROUND(J12*L12,2)</f>
        <v>11723.1</v>
      </c>
    </row>
    <row r="13" spans="1:14" ht="24">
      <c r="A13" s="90">
        <v>2</v>
      </c>
      <c r="B13" s="92" t="s">
        <v>199</v>
      </c>
      <c r="C13" s="30"/>
      <c r="D13" s="33"/>
      <c r="E13" s="31"/>
      <c r="F13" s="25"/>
      <c r="G13" s="26"/>
      <c r="H13" s="41"/>
      <c r="I13" s="93"/>
      <c r="J13" s="211"/>
      <c r="K13" s="212"/>
      <c r="L13" s="27"/>
      <c r="M13" s="27"/>
      <c r="N13" s="27"/>
    </row>
    <row r="14" spans="1:14" ht="24">
      <c r="A14" s="21"/>
      <c r="B14" s="30" t="s">
        <v>202</v>
      </c>
      <c r="C14" s="30"/>
      <c r="D14" s="29"/>
      <c r="E14" s="31"/>
      <c r="F14" s="21" t="s">
        <v>33</v>
      </c>
      <c r="G14" s="26">
        <v>115</v>
      </c>
      <c r="H14" s="211">
        <f>รางระบายน้ำ!L15</f>
        <v>3348</v>
      </c>
      <c r="I14" s="212"/>
      <c r="J14" s="211">
        <f>ROUND(H14*G14,2)</f>
        <v>385020</v>
      </c>
      <c r="K14" s="212"/>
      <c r="L14" s="32">
        <f>$J$33</f>
        <v>1.3592</v>
      </c>
      <c r="M14" s="41">
        <f>ROUNDDOWN(H14*L14,2)</f>
        <v>4550.6</v>
      </c>
      <c r="N14" s="27">
        <f>ROUND(J14*L14,2)</f>
        <v>523319.18</v>
      </c>
    </row>
    <row r="15" spans="1:14" ht="24">
      <c r="A15" s="21"/>
      <c r="B15" s="30" t="s">
        <v>203</v>
      </c>
      <c r="C15" s="30"/>
      <c r="D15" s="29"/>
      <c r="E15" s="31"/>
      <c r="F15" s="21" t="s">
        <v>159</v>
      </c>
      <c r="G15" s="26">
        <v>230</v>
      </c>
      <c r="H15" s="211">
        <f>รางระบายน้ำ!L23</f>
        <v>877</v>
      </c>
      <c r="I15" s="212"/>
      <c r="J15" s="211">
        <f>ROUND(H15*G15,2)</f>
        <v>201710</v>
      </c>
      <c r="K15" s="212"/>
      <c r="L15" s="32">
        <f>$J$33</f>
        <v>1.3592</v>
      </c>
      <c r="M15" s="41">
        <f>ROUNDDOWN(H15*L15,2)</f>
        <v>1192.01</v>
      </c>
      <c r="N15" s="27">
        <f>ROUND(J15*L15,2)</f>
        <v>274164.23</v>
      </c>
    </row>
    <row r="16" spans="1:17" ht="24">
      <c r="A16" s="90">
        <v>3</v>
      </c>
      <c r="B16" s="92" t="s">
        <v>73</v>
      </c>
      <c r="C16" s="30"/>
      <c r="D16" s="29"/>
      <c r="E16" s="31"/>
      <c r="F16" s="21"/>
      <c r="G16" s="26"/>
      <c r="H16" s="211"/>
      <c r="I16" s="212"/>
      <c r="J16" s="211"/>
      <c r="K16" s="212"/>
      <c r="L16" s="32"/>
      <c r="M16" s="41"/>
      <c r="N16" s="27"/>
      <c r="Q16" s="136"/>
    </row>
    <row r="17" spans="1:14" ht="24">
      <c r="A17" s="21"/>
      <c r="B17" s="30"/>
      <c r="C17" s="30"/>
      <c r="D17" s="29"/>
      <c r="E17" s="31"/>
      <c r="F17" s="21"/>
      <c r="G17" s="26"/>
      <c r="H17" s="211"/>
      <c r="I17" s="212"/>
      <c r="J17" s="211"/>
      <c r="K17" s="212"/>
      <c r="L17" s="32"/>
      <c r="M17" s="41"/>
      <c r="N17" s="27"/>
    </row>
    <row r="18" spans="1:14" ht="24">
      <c r="A18" s="21"/>
      <c r="B18" s="92"/>
      <c r="C18" s="30"/>
      <c r="D18" s="29"/>
      <c r="E18" s="31"/>
      <c r="F18" s="25"/>
      <c r="G18" s="34"/>
      <c r="H18" s="41"/>
      <c r="I18" s="93"/>
      <c r="J18" s="211"/>
      <c r="K18" s="212"/>
      <c r="L18" s="32"/>
      <c r="M18" s="41"/>
      <c r="N18" s="27"/>
    </row>
    <row r="19" spans="1:14" ht="24">
      <c r="A19" s="21"/>
      <c r="B19" s="30"/>
      <c r="C19" s="30"/>
      <c r="D19" s="29"/>
      <c r="E19" s="31"/>
      <c r="F19" s="21"/>
      <c r="G19" s="26"/>
      <c r="H19" s="211"/>
      <c r="I19" s="212"/>
      <c r="J19" s="211"/>
      <c r="K19" s="212"/>
      <c r="L19" s="32"/>
      <c r="M19" s="41"/>
      <c r="N19" s="27"/>
    </row>
    <row r="20" spans="1:14" ht="24">
      <c r="A20" s="21"/>
      <c r="B20" s="92"/>
      <c r="C20" s="30"/>
      <c r="D20" s="29"/>
      <c r="E20" s="31"/>
      <c r="F20" s="25"/>
      <c r="G20" s="34"/>
      <c r="H20" s="146"/>
      <c r="I20" s="147"/>
      <c r="J20" s="146"/>
      <c r="K20" s="147"/>
      <c r="L20" s="32"/>
      <c r="M20" s="41"/>
      <c r="N20" s="27"/>
    </row>
    <row r="21" spans="1:14" ht="24">
      <c r="A21" s="21"/>
      <c r="B21" s="30"/>
      <c r="C21" s="30"/>
      <c r="D21" s="29"/>
      <c r="E21" s="31"/>
      <c r="F21" s="21"/>
      <c r="G21" s="26"/>
      <c r="H21" s="211"/>
      <c r="I21" s="212"/>
      <c r="J21" s="211"/>
      <c r="K21" s="212"/>
      <c r="L21" s="32"/>
      <c r="M21" s="41"/>
      <c r="N21" s="27"/>
    </row>
    <row r="22" spans="1:14" ht="24">
      <c r="A22" s="21"/>
      <c r="B22" s="30"/>
      <c r="C22" s="30"/>
      <c r="D22" s="29"/>
      <c r="E22" s="31"/>
      <c r="F22" s="21"/>
      <c r="G22" s="26"/>
      <c r="H22" s="211"/>
      <c r="I22" s="212"/>
      <c r="J22" s="211"/>
      <c r="K22" s="212"/>
      <c r="L22" s="32"/>
      <c r="M22" s="41"/>
      <c r="N22" s="27"/>
    </row>
    <row r="23" spans="1:14" ht="24">
      <c r="A23" s="21"/>
      <c r="B23" s="30"/>
      <c r="C23" s="30"/>
      <c r="D23" s="29"/>
      <c r="E23" s="31"/>
      <c r="F23" s="21"/>
      <c r="G23" s="26"/>
      <c r="H23" s="211"/>
      <c r="I23" s="212"/>
      <c r="J23" s="211"/>
      <c r="K23" s="212"/>
      <c r="L23" s="32"/>
      <c r="M23" s="41"/>
      <c r="N23" s="27"/>
    </row>
    <row r="24" spans="1:14" ht="24">
      <c r="A24" s="21"/>
      <c r="B24" s="30"/>
      <c r="C24" s="30"/>
      <c r="D24" s="29"/>
      <c r="E24" s="31"/>
      <c r="F24" s="21"/>
      <c r="G24" s="26"/>
      <c r="H24" s="211"/>
      <c r="I24" s="212"/>
      <c r="J24" s="211"/>
      <c r="K24" s="212"/>
      <c r="L24" s="32"/>
      <c r="M24" s="41"/>
      <c r="N24" s="27"/>
    </row>
    <row r="25" spans="1:14" ht="24">
      <c r="A25" s="21"/>
      <c r="B25" s="92"/>
      <c r="C25" s="30"/>
      <c r="D25" s="29"/>
      <c r="E25" s="31"/>
      <c r="F25" s="25"/>
      <c r="G25" s="34"/>
      <c r="H25" s="176"/>
      <c r="I25" s="177"/>
      <c r="J25" s="176"/>
      <c r="K25" s="177"/>
      <c r="L25" s="32"/>
      <c r="M25" s="41"/>
      <c r="N25" s="27"/>
    </row>
    <row r="26" spans="1:14" ht="24">
      <c r="A26" s="21"/>
      <c r="B26" s="30"/>
      <c r="C26" s="30"/>
      <c r="D26" s="29"/>
      <c r="E26" s="31"/>
      <c r="F26" s="21"/>
      <c r="G26" s="26"/>
      <c r="H26" s="211"/>
      <c r="I26" s="212"/>
      <c r="J26" s="211"/>
      <c r="K26" s="212"/>
      <c r="L26" s="32"/>
      <c r="M26" s="41"/>
      <c r="N26" s="27"/>
    </row>
    <row r="27" spans="1:14" ht="24">
      <c r="A27" s="186"/>
      <c r="B27" s="186"/>
      <c r="C27" s="96"/>
      <c r="D27" s="97"/>
      <c r="E27" s="98"/>
      <c r="F27" s="99"/>
      <c r="G27" s="100"/>
      <c r="H27" s="101"/>
      <c r="I27" s="102"/>
      <c r="J27" s="101"/>
      <c r="K27" s="102"/>
      <c r="L27" s="40"/>
      <c r="M27" s="35"/>
      <c r="N27" s="27"/>
    </row>
    <row r="28" spans="1:14" ht="24">
      <c r="A28" s="15"/>
      <c r="B28" s="15"/>
      <c r="C28" s="36"/>
      <c r="D28" s="37"/>
      <c r="E28" s="37"/>
      <c r="F28" s="15"/>
      <c r="G28" s="148"/>
      <c r="H28" s="148"/>
      <c r="I28" s="15"/>
      <c r="J28" s="15"/>
      <c r="K28" s="38"/>
      <c r="L28" s="14"/>
      <c r="M28" s="36" t="s">
        <v>128</v>
      </c>
      <c r="N28" s="104">
        <f>ROUND((SUM(N13:N27)),2)</f>
        <v>797483.41</v>
      </c>
    </row>
    <row r="29" spans="1:14" ht="24.75" thickBot="1">
      <c r="A29" s="15"/>
      <c r="B29" s="15"/>
      <c r="C29" s="36"/>
      <c r="D29" s="37"/>
      <c r="E29" s="37"/>
      <c r="F29" s="15"/>
      <c r="G29" s="148"/>
      <c r="H29" s="148"/>
      <c r="I29" s="15"/>
      <c r="J29" s="15"/>
      <c r="K29" s="38"/>
      <c r="L29" s="14"/>
      <c r="M29" s="36" t="s">
        <v>187</v>
      </c>
      <c r="N29" s="103">
        <f>ROUNDDOWN(N28,2)</f>
        <v>797483.41</v>
      </c>
    </row>
    <row r="30" spans="1:16" ht="25.5" thickBot="1" thickTop="1">
      <c r="A30" s="14"/>
      <c r="B30" s="16" t="s">
        <v>28</v>
      </c>
      <c r="C30" s="17"/>
      <c r="D30" s="16"/>
      <c r="E30" s="16"/>
      <c r="H30" s="143"/>
      <c r="I30" s="14"/>
      <c r="J30" s="221">
        <f>SUM(J13:K27)</f>
        <v>586730</v>
      </c>
      <c r="K30" s="222"/>
      <c r="L30" s="223"/>
      <c r="M30" s="33"/>
      <c r="N30" s="39"/>
      <c r="P30" s="140">
        <f>J30*J33</f>
        <v>797483.416</v>
      </c>
    </row>
    <row r="31" spans="1:14" ht="24.75" thickBot="1">
      <c r="A31" s="14"/>
      <c r="B31" s="16" t="s">
        <v>29</v>
      </c>
      <c r="C31" s="17"/>
      <c r="D31" s="16"/>
      <c r="E31" s="16"/>
      <c r="H31" s="143"/>
      <c r="I31" s="14"/>
      <c r="J31" s="221" t="s">
        <v>18</v>
      </c>
      <c r="K31" s="222"/>
      <c r="L31" s="223"/>
      <c r="M31" s="33"/>
      <c r="N31" s="39"/>
    </row>
    <row r="32" spans="1:14" ht="24.75" thickBot="1">
      <c r="A32" s="14"/>
      <c r="B32" s="16"/>
      <c r="C32" s="17"/>
      <c r="D32" s="16"/>
      <c r="E32" s="16"/>
      <c r="H32" s="143"/>
      <c r="I32" s="14"/>
      <c r="J32" s="145"/>
      <c r="K32" s="145"/>
      <c r="L32" s="145"/>
      <c r="M32" s="33"/>
      <c r="N32" s="39"/>
    </row>
    <row r="33" spans="1:14" ht="24.75" thickBot="1">
      <c r="A33" s="14"/>
      <c r="B33" s="16" t="s">
        <v>30</v>
      </c>
      <c r="C33" s="17"/>
      <c r="D33" s="16"/>
      <c r="E33" s="16"/>
      <c r="H33" s="143"/>
      <c r="I33" s="14"/>
      <c r="J33" s="218">
        <v>1.3592</v>
      </c>
      <c r="K33" s="219"/>
      <c r="L33" s="220"/>
      <c r="M33" s="33"/>
      <c r="N33" s="39"/>
    </row>
    <row r="34" spans="1:14" ht="24.75" thickBot="1">
      <c r="A34" s="14"/>
      <c r="B34" s="16" t="s">
        <v>31</v>
      </c>
      <c r="C34" s="17"/>
      <c r="D34" s="16"/>
      <c r="E34" s="16"/>
      <c r="H34" s="143"/>
      <c r="I34" s="14"/>
      <c r="J34" s="218" t="s">
        <v>18</v>
      </c>
      <c r="K34" s="219"/>
      <c r="L34" s="220"/>
      <c r="M34" s="33"/>
      <c r="N34" s="39"/>
    </row>
    <row r="35" spans="1:14" ht="24">
      <c r="A35" s="14"/>
      <c r="B35" s="16"/>
      <c r="C35" s="17"/>
      <c r="D35" s="16"/>
      <c r="E35" s="16"/>
      <c r="H35" s="178"/>
      <c r="I35" s="14"/>
      <c r="J35" s="43"/>
      <c r="K35" s="43"/>
      <c r="L35" s="43"/>
      <c r="M35" s="33"/>
      <c r="N35" s="39"/>
    </row>
    <row r="36" spans="1:14" ht="24" hidden="1">
      <c r="A36" s="14"/>
      <c r="B36" s="16"/>
      <c r="C36" s="17"/>
      <c r="D36" s="16"/>
      <c r="E36" s="16"/>
      <c r="H36" s="178"/>
      <c r="I36" s="14"/>
      <c r="J36" s="43"/>
      <c r="K36" s="43"/>
      <c r="L36" s="43"/>
      <c r="M36" s="33"/>
      <c r="N36" s="39"/>
    </row>
    <row r="37" spans="1:14" ht="24" hidden="1">
      <c r="A37" s="14"/>
      <c r="B37" s="16"/>
      <c r="C37" s="17"/>
      <c r="D37" s="16"/>
      <c r="E37" s="16"/>
      <c r="H37" s="178"/>
      <c r="I37" s="14"/>
      <c r="J37" s="43"/>
      <c r="K37" s="43"/>
      <c r="L37" s="43"/>
      <c r="M37" s="33"/>
      <c r="N37" s="39"/>
    </row>
    <row r="38" spans="1:14" ht="24" hidden="1">
      <c r="A38" s="14"/>
      <c r="B38" s="16"/>
      <c r="C38" s="17"/>
      <c r="D38" s="16"/>
      <c r="E38" s="16"/>
      <c r="H38" s="178"/>
      <c r="I38" s="14"/>
      <c r="J38" s="43"/>
      <c r="K38" s="43"/>
      <c r="L38" s="43"/>
      <c r="M38" s="33"/>
      <c r="N38" s="39"/>
    </row>
    <row r="39" spans="1:14" ht="24" hidden="1">
      <c r="A39" s="18"/>
      <c r="B39" s="196" t="s">
        <v>175</v>
      </c>
      <c r="C39" s="196"/>
      <c r="D39" s="196"/>
      <c r="E39" s="196"/>
      <c r="F39" s="196"/>
      <c r="G39" s="3"/>
      <c r="H39" s="178"/>
      <c r="I39" s="178"/>
      <c r="J39" s="214" t="s">
        <v>176</v>
      </c>
      <c r="K39" s="214"/>
      <c r="L39" s="214"/>
      <c r="M39" s="214"/>
      <c r="N39" s="214"/>
    </row>
    <row r="40" spans="2:13" ht="24" hidden="1">
      <c r="B40" s="213" t="s">
        <v>177</v>
      </c>
      <c r="C40" s="213"/>
      <c r="D40" s="213"/>
      <c r="E40" s="213"/>
      <c r="J40" s="213" t="s">
        <v>178</v>
      </c>
      <c r="K40" s="213"/>
      <c r="L40" s="213"/>
      <c r="M40" s="213"/>
    </row>
    <row r="41" spans="2:13" ht="24" hidden="1">
      <c r="B41" s="213" t="s">
        <v>179</v>
      </c>
      <c r="C41" s="213"/>
      <c r="D41" s="213"/>
      <c r="E41" s="213"/>
      <c r="J41" s="213" t="s">
        <v>180</v>
      </c>
      <c r="K41" s="213"/>
      <c r="L41" s="213"/>
      <c r="M41" s="213"/>
    </row>
    <row r="42" ht="24" hidden="1"/>
    <row r="43" spans="2:14" ht="24" hidden="1">
      <c r="B43" s="196" t="s">
        <v>181</v>
      </c>
      <c r="C43" s="196"/>
      <c r="D43" s="196"/>
      <c r="E43" s="196"/>
      <c r="J43" s="214" t="s">
        <v>182</v>
      </c>
      <c r="K43" s="214"/>
      <c r="L43" s="214"/>
      <c r="M43" s="214"/>
      <c r="N43" s="214"/>
    </row>
    <row r="44" spans="2:13" ht="24" hidden="1">
      <c r="B44" s="213" t="s">
        <v>185</v>
      </c>
      <c r="C44" s="213"/>
      <c r="D44" s="213"/>
      <c r="E44" s="213"/>
      <c r="J44" s="213" t="s">
        <v>183</v>
      </c>
      <c r="K44" s="213"/>
      <c r="L44" s="213"/>
      <c r="M44" s="213"/>
    </row>
    <row r="45" spans="1:13" ht="24" hidden="1">
      <c r="A45" s="18"/>
      <c r="B45" s="213" t="s">
        <v>60</v>
      </c>
      <c r="C45" s="213"/>
      <c r="D45" s="213"/>
      <c r="E45" s="213"/>
      <c r="F45" s="18"/>
      <c r="J45" s="213" t="s">
        <v>184</v>
      </c>
      <c r="K45" s="213"/>
      <c r="L45" s="213"/>
      <c r="M45" s="213"/>
    </row>
    <row r="46" spans="1:14" ht="24" hidden="1">
      <c r="A46" s="14"/>
      <c r="B46" s="16"/>
      <c r="C46" s="17"/>
      <c r="D46" s="16"/>
      <c r="E46" s="16"/>
      <c r="H46" s="178"/>
      <c r="I46" s="14"/>
      <c r="J46" s="43"/>
      <c r="K46" s="43"/>
      <c r="L46" s="43"/>
      <c r="M46" s="33"/>
      <c r="N46" s="39"/>
    </row>
    <row r="47" spans="1:14" ht="24" hidden="1">
      <c r="A47" s="14"/>
      <c r="B47" s="16"/>
      <c r="C47" s="17"/>
      <c r="D47" s="16"/>
      <c r="E47" s="16"/>
      <c r="H47" s="178"/>
      <c r="I47" s="14"/>
      <c r="J47" s="43"/>
      <c r="K47" s="43"/>
      <c r="L47" s="43"/>
      <c r="M47" s="33"/>
      <c r="N47" s="39"/>
    </row>
    <row r="48" spans="1:14" ht="24" hidden="1">
      <c r="A48" s="14"/>
      <c r="B48" s="16"/>
      <c r="C48" s="17"/>
      <c r="D48" s="16"/>
      <c r="E48" s="16"/>
      <c r="H48" s="178"/>
      <c r="I48" s="14"/>
      <c r="J48" s="43"/>
      <c r="K48" s="43"/>
      <c r="L48" s="43"/>
      <c r="M48" s="33"/>
      <c r="N48" s="39"/>
    </row>
    <row r="49" spans="1:14" ht="24" hidden="1">
      <c r="A49" s="14"/>
      <c r="B49" s="16"/>
      <c r="C49" s="17"/>
      <c r="D49" s="16"/>
      <c r="E49" s="16"/>
      <c r="H49" s="178"/>
      <c r="I49" s="14"/>
      <c r="J49" s="43"/>
      <c r="K49" s="43"/>
      <c r="L49" s="43"/>
      <c r="M49" s="33"/>
      <c r="N49" s="39"/>
    </row>
    <row r="50" spans="1:14" ht="24" hidden="1">
      <c r="A50" s="14"/>
      <c r="B50" s="16"/>
      <c r="C50" s="17"/>
      <c r="D50" s="16"/>
      <c r="E50" s="16"/>
      <c r="H50" s="178"/>
      <c r="I50" s="14"/>
      <c r="J50" s="43"/>
      <c r="K50" s="43"/>
      <c r="L50" s="43"/>
      <c r="M50" s="33"/>
      <c r="N50" s="39"/>
    </row>
    <row r="51" spans="1:14" ht="24" hidden="1">
      <c r="A51" s="14"/>
      <c r="B51" s="16"/>
      <c r="C51" s="17"/>
      <c r="D51" s="16"/>
      <c r="E51" s="16"/>
      <c r="H51" s="178"/>
      <c r="I51" s="14"/>
      <c r="J51" s="43"/>
      <c r="K51" s="43"/>
      <c r="L51" s="43"/>
      <c r="M51" s="33"/>
      <c r="N51" s="39"/>
    </row>
    <row r="52" spans="1:14" ht="24" hidden="1">
      <c r="A52" s="14"/>
      <c r="B52" s="16"/>
      <c r="C52" s="17"/>
      <c r="D52" s="16"/>
      <c r="E52" s="16"/>
      <c r="H52" s="178"/>
      <c r="I52" s="14"/>
      <c r="J52" s="43"/>
      <c r="K52" s="43"/>
      <c r="L52" s="43"/>
      <c r="M52" s="33"/>
      <c r="N52" s="39"/>
    </row>
    <row r="53" spans="1:14" ht="24" hidden="1">
      <c r="A53" s="14"/>
      <c r="B53" s="16"/>
      <c r="C53" s="17"/>
      <c r="D53" s="16"/>
      <c r="E53" s="16"/>
      <c r="H53" s="178"/>
      <c r="I53" s="14"/>
      <c r="J53" s="43"/>
      <c r="K53" s="43"/>
      <c r="L53" s="43"/>
      <c r="M53" s="33"/>
      <c r="N53" s="39"/>
    </row>
    <row r="54" spans="1:14" ht="24" hidden="1">
      <c r="A54" s="14"/>
      <c r="B54" s="16"/>
      <c r="C54" s="17"/>
      <c r="D54" s="16"/>
      <c r="E54" s="16"/>
      <c r="H54" s="178"/>
      <c r="I54" s="14"/>
      <c r="J54" s="43"/>
      <c r="K54" s="43"/>
      <c r="L54" s="43"/>
      <c r="M54" s="33"/>
      <c r="N54" s="39"/>
    </row>
    <row r="55" spans="1:14" ht="24">
      <c r="A55" s="14"/>
      <c r="B55" s="16"/>
      <c r="C55" s="17"/>
      <c r="D55" s="16"/>
      <c r="E55" s="16"/>
      <c r="H55" s="187"/>
      <c r="I55" s="14"/>
      <c r="J55" s="43"/>
      <c r="K55" s="43"/>
      <c r="L55" s="43"/>
      <c r="M55" s="33"/>
      <c r="N55" s="39"/>
    </row>
    <row r="56" spans="1:14" ht="24">
      <c r="A56" s="14"/>
      <c r="B56" s="16"/>
      <c r="C56" s="17"/>
      <c r="D56" s="16"/>
      <c r="E56" s="16"/>
      <c r="H56" s="143"/>
      <c r="I56" s="14"/>
      <c r="J56" s="43"/>
      <c r="K56" s="43"/>
      <c r="L56" s="43"/>
      <c r="M56" s="33"/>
      <c r="N56" s="39"/>
    </row>
    <row r="57" spans="5:11" ht="24">
      <c r="E57" s="3" t="s">
        <v>69</v>
      </c>
      <c r="F57" s="3"/>
      <c r="G57" s="3"/>
      <c r="H57" s="3"/>
      <c r="I57" s="3"/>
      <c r="J57" s="3"/>
      <c r="K57" s="3"/>
    </row>
    <row r="58" spans="5:9" ht="24">
      <c r="E58" s="215" t="str">
        <f>B73</f>
        <v>( นายผจญ  ทิปกะ )</v>
      </c>
      <c r="F58" s="215"/>
      <c r="G58" s="215"/>
      <c r="H58" s="215"/>
      <c r="I58" s="215"/>
    </row>
    <row r="59" spans="5:9" ht="24">
      <c r="E59" s="215" t="str">
        <f>D73</f>
        <v>ปลัด อบต.ป่ากลาง</v>
      </c>
      <c r="F59" s="215"/>
      <c r="G59" s="215"/>
      <c r="H59" s="215"/>
      <c r="I59" s="215"/>
    </row>
    <row r="61" spans="2:13" ht="24">
      <c r="B61" s="3" t="s">
        <v>165</v>
      </c>
      <c r="C61" s="3"/>
      <c r="D61" s="3"/>
      <c r="E61" s="3"/>
      <c r="F61" s="3"/>
      <c r="G61" s="3"/>
      <c r="H61" s="3" t="s">
        <v>167</v>
      </c>
      <c r="J61" s="3"/>
      <c r="K61" s="3"/>
      <c r="L61" s="3"/>
      <c r="M61" s="3"/>
    </row>
    <row r="62" spans="2:12" ht="24">
      <c r="B62" s="215" t="str">
        <f>B84</f>
        <v>( นายนัฏฐิชัย  ใจมั่น )</v>
      </c>
      <c r="C62" s="196"/>
      <c r="D62" s="196"/>
      <c r="I62" s="215" t="str">
        <f>B87</f>
        <v>( นายสุรเดช   พรมมีเดช )</v>
      </c>
      <c r="J62" s="215"/>
      <c r="K62" s="215"/>
      <c r="L62" s="215"/>
    </row>
    <row r="63" spans="2:12" ht="24">
      <c r="B63" s="215" t="str">
        <f>D84</f>
        <v>ผู้อำนวยการกองช่าง</v>
      </c>
      <c r="C63" s="196"/>
      <c r="D63" s="196"/>
      <c r="I63" s="215" t="str">
        <f>D87</f>
        <v>นายช่างโยธา</v>
      </c>
      <c r="J63" s="215"/>
      <c r="K63" s="215"/>
      <c r="L63" s="215"/>
    </row>
    <row r="64" spans="2:12" ht="24">
      <c r="B64" s="141"/>
      <c r="C64" s="142"/>
      <c r="D64" s="142"/>
      <c r="I64" s="141"/>
      <c r="J64" s="141"/>
      <c r="K64" s="141"/>
      <c r="L64" s="141"/>
    </row>
    <row r="65" spans="2:13" ht="24">
      <c r="B65" s="3" t="s">
        <v>165</v>
      </c>
      <c r="C65" s="3"/>
      <c r="D65" s="3"/>
      <c r="E65" s="3"/>
      <c r="F65" s="3"/>
      <c r="G65" s="3"/>
      <c r="H65" s="3" t="s">
        <v>167</v>
      </c>
      <c r="J65" s="3"/>
      <c r="K65" s="3"/>
      <c r="L65" s="3"/>
      <c r="M65" s="3"/>
    </row>
    <row r="66" spans="2:12" ht="24">
      <c r="B66" s="215" t="str">
        <f>B70</f>
        <v>( นายชัยเดช  อภิวัฒน์สกุล )</v>
      </c>
      <c r="C66" s="196"/>
      <c r="D66" s="196"/>
      <c r="I66" s="215" t="str">
        <f>B71</f>
        <v>( นายสุรพงษ์   ศิลป์ท้าว)</v>
      </c>
      <c r="J66" s="215"/>
      <c r="K66" s="215"/>
      <c r="L66" s="215"/>
    </row>
    <row r="67" spans="2:12" ht="24">
      <c r="B67" s="215" t="str">
        <f>D70</f>
        <v>รองนายก อบต.ป่ากลาง</v>
      </c>
      <c r="C67" s="196"/>
      <c r="D67" s="196"/>
      <c r="I67" s="215" t="str">
        <f>D71</f>
        <v>รองนายก อบต.ป่ากลาง</v>
      </c>
      <c r="J67" s="215"/>
      <c r="K67" s="215"/>
      <c r="L67" s="215"/>
    </row>
    <row r="68" spans="2:12" ht="24">
      <c r="B68" s="141"/>
      <c r="C68" s="142"/>
      <c r="D68" s="142"/>
      <c r="I68" s="141"/>
      <c r="J68" s="141"/>
      <c r="K68" s="141"/>
      <c r="L68" s="141"/>
    </row>
    <row r="69" spans="2:12" ht="24">
      <c r="B69" s="141"/>
      <c r="C69" s="142"/>
      <c r="D69" s="142"/>
      <c r="I69" s="141"/>
      <c r="J69" s="141"/>
      <c r="K69" s="141"/>
      <c r="L69" s="141"/>
    </row>
    <row r="70" spans="2:4" ht="24">
      <c r="B70" s="42" t="s">
        <v>34</v>
      </c>
      <c r="D70" s="42" t="s">
        <v>35</v>
      </c>
    </row>
    <row r="71" spans="2:4" ht="24">
      <c r="B71" s="42" t="s">
        <v>166</v>
      </c>
      <c r="D71" s="42" t="s">
        <v>35</v>
      </c>
    </row>
    <row r="72" spans="2:4" ht="24">
      <c r="B72" s="42" t="s">
        <v>36</v>
      </c>
      <c r="D72" s="42" t="s">
        <v>37</v>
      </c>
    </row>
    <row r="73" spans="2:4" ht="24">
      <c r="B73" s="144" t="s">
        <v>38</v>
      </c>
      <c r="D73" s="1" t="s">
        <v>39</v>
      </c>
    </row>
    <row r="74" spans="2:4" ht="24">
      <c r="B74" s="1" t="s">
        <v>40</v>
      </c>
      <c r="D74" s="1" t="s">
        <v>41</v>
      </c>
    </row>
    <row r="75" spans="2:4" ht="24">
      <c r="B75" s="1" t="s">
        <v>42</v>
      </c>
      <c r="D75" s="1" t="s">
        <v>43</v>
      </c>
    </row>
    <row r="76" spans="2:4" ht="24">
      <c r="B76" s="1" t="s">
        <v>44</v>
      </c>
      <c r="D76" s="1" t="s">
        <v>45</v>
      </c>
    </row>
    <row r="77" spans="2:4" ht="24">
      <c r="B77" s="1" t="s">
        <v>46</v>
      </c>
      <c r="D77" s="1" t="s">
        <v>47</v>
      </c>
    </row>
    <row r="78" spans="2:4" ht="24">
      <c r="B78" s="1" t="s">
        <v>48</v>
      </c>
      <c r="D78" s="1" t="s">
        <v>49</v>
      </c>
    </row>
    <row r="79" spans="2:4" ht="24">
      <c r="B79" s="1" t="s">
        <v>50</v>
      </c>
      <c r="D79" s="1" t="s">
        <v>51</v>
      </c>
    </row>
    <row r="80" spans="2:4" ht="24">
      <c r="B80" s="1" t="s">
        <v>52</v>
      </c>
      <c r="D80" s="1" t="s">
        <v>53</v>
      </c>
    </row>
    <row r="81" spans="2:4" ht="24">
      <c r="B81" s="1" t="s">
        <v>54</v>
      </c>
      <c r="D81" s="1" t="s">
        <v>55</v>
      </c>
    </row>
    <row r="82" spans="2:4" ht="24">
      <c r="B82" s="1" t="s">
        <v>56</v>
      </c>
      <c r="D82" s="1" t="s">
        <v>57</v>
      </c>
    </row>
    <row r="83" spans="2:4" ht="24">
      <c r="B83" s="1" t="s">
        <v>58</v>
      </c>
      <c r="D83" s="1" t="s">
        <v>59</v>
      </c>
    </row>
    <row r="84" spans="2:4" ht="24">
      <c r="B84" s="1" t="s">
        <v>214</v>
      </c>
      <c r="D84" s="1" t="s">
        <v>60</v>
      </c>
    </row>
    <row r="85" spans="2:4" ht="24">
      <c r="B85" s="1" t="s">
        <v>61</v>
      </c>
      <c r="D85" s="1" t="s">
        <v>62</v>
      </c>
    </row>
    <row r="86" spans="2:4" ht="24">
      <c r="B86" s="1" t="s">
        <v>63</v>
      </c>
      <c r="D86" s="1" t="s">
        <v>64</v>
      </c>
    </row>
    <row r="87" spans="2:4" ht="24">
      <c r="B87" s="1" t="s">
        <v>65</v>
      </c>
      <c r="D87" s="42" t="s">
        <v>66</v>
      </c>
    </row>
  </sheetData>
  <sheetProtection/>
  <mergeCells count="61">
    <mergeCell ref="J11:K11"/>
    <mergeCell ref="H12:I12"/>
    <mergeCell ref="J12:K12"/>
    <mergeCell ref="J15:K15"/>
    <mergeCell ref="B41:E41"/>
    <mergeCell ref="J41:M41"/>
    <mergeCell ref="J33:L33"/>
    <mergeCell ref="J34:L34"/>
    <mergeCell ref="J30:L30"/>
    <mergeCell ref="J31:L31"/>
    <mergeCell ref="J18:K18"/>
    <mergeCell ref="H19:I19"/>
    <mergeCell ref="J19:K19"/>
    <mergeCell ref="J13:K13"/>
    <mergeCell ref="H14:I14"/>
    <mergeCell ref="J14:K14"/>
    <mergeCell ref="B67:D67"/>
    <mergeCell ref="I67:L67"/>
    <mergeCell ref="E58:I58"/>
    <mergeCell ref="E59:I59"/>
    <mergeCell ref="B62:D62"/>
    <mergeCell ref="I62:L62"/>
    <mergeCell ref="B63:D63"/>
    <mergeCell ref="I63:L63"/>
    <mergeCell ref="B66:D66"/>
    <mergeCell ref="I66:L66"/>
    <mergeCell ref="B45:E45"/>
    <mergeCell ref="J45:M45"/>
    <mergeCell ref="B43:E43"/>
    <mergeCell ref="J43:N43"/>
    <mergeCell ref="H22:I22"/>
    <mergeCell ref="J22:K22"/>
    <mergeCell ref="B39:F39"/>
    <mergeCell ref="J39:N39"/>
    <mergeCell ref="B40:E40"/>
    <mergeCell ref="J40:M40"/>
    <mergeCell ref="H23:I23"/>
    <mergeCell ref="J23:K23"/>
    <mergeCell ref="H24:I24"/>
    <mergeCell ref="J24:K24"/>
    <mergeCell ref="H26:I26"/>
    <mergeCell ref="J26:K26"/>
    <mergeCell ref="H16:I16"/>
    <mergeCell ref="J16:K16"/>
    <mergeCell ref="H15:I15"/>
    <mergeCell ref="B44:E44"/>
    <mergeCell ref="J44:M44"/>
    <mergeCell ref="H21:I21"/>
    <mergeCell ref="J21:K21"/>
    <mergeCell ref="H17:I17"/>
    <mergeCell ref="J17:K17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paperSize="9" scale="7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F30" sqref="F30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0.57421875" style="1" customWidth="1"/>
    <col min="7" max="7" width="7.28125" style="1" customWidth="1"/>
    <col min="8" max="8" width="7.14062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5.140625" style="1" customWidth="1"/>
    <col min="13" max="16384" width="9.00390625" style="1" customWidth="1"/>
  </cols>
  <sheetData>
    <row r="1" spans="1:12" ht="24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4">
      <c r="A2" s="44" t="s">
        <v>168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ht="24">
      <c r="A3" s="1" t="s">
        <v>188</v>
      </c>
    </row>
    <row r="4" ht="24">
      <c r="A4" s="1" t="s">
        <v>205</v>
      </c>
    </row>
    <row r="5" spans="1:10" ht="21" customHeight="1">
      <c r="A5" s="1" t="s">
        <v>189</v>
      </c>
      <c r="G5" s="3" t="s">
        <v>223</v>
      </c>
      <c r="J5" s="13"/>
    </row>
    <row r="6" spans="1:7" ht="24">
      <c r="A6" s="1" t="s">
        <v>16</v>
      </c>
      <c r="G6" s="1" t="s">
        <v>186</v>
      </c>
    </row>
    <row r="7" spans="1:7" ht="24">
      <c r="A7" s="1" t="s">
        <v>15</v>
      </c>
      <c r="G7" s="1" t="s">
        <v>71</v>
      </c>
    </row>
    <row r="8" spans="1:12" ht="24">
      <c r="A8" s="139" t="s">
        <v>22</v>
      </c>
      <c r="B8" s="224" t="s">
        <v>0</v>
      </c>
      <c r="C8" s="225"/>
      <c r="D8" s="22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 ht="24">
      <c r="A9" s="137" t="s">
        <v>70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 ht="24">
      <c r="A10" s="13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 ht="24">
      <c r="A11" s="151">
        <v>1</v>
      </c>
      <c r="B11" s="152" t="s">
        <v>111</v>
      </c>
      <c r="C11" s="153"/>
      <c r="D11" s="154"/>
      <c r="E11" s="151" t="s">
        <v>17</v>
      </c>
      <c r="F11" s="155">
        <v>2200</v>
      </c>
      <c r="G11" s="156">
        <v>0</v>
      </c>
      <c r="H11" s="156">
        <v>0</v>
      </c>
      <c r="I11" s="156">
        <v>0</v>
      </c>
      <c r="J11" s="156">
        <v>0</v>
      </c>
      <c r="K11" s="157">
        <f>ROUND($F$11+$H$11+$I$11+$J$11,2)</f>
        <v>2200</v>
      </c>
      <c r="L11" s="188" t="s">
        <v>208</v>
      </c>
    </row>
    <row r="12" spans="1:12" ht="24">
      <c r="A12" s="158">
        <v>2</v>
      </c>
      <c r="B12" s="159" t="s">
        <v>171</v>
      </c>
      <c r="C12" s="160"/>
      <c r="D12" s="161"/>
      <c r="E12" s="158" t="s">
        <v>112</v>
      </c>
      <c r="F12" s="162">
        <v>21470.9</v>
      </c>
      <c r="G12" s="163">
        <v>0</v>
      </c>
      <c r="H12" s="163">
        <v>0</v>
      </c>
      <c r="I12" s="163">
        <v>0</v>
      </c>
      <c r="J12" s="163">
        <v>4100</v>
      </c>
      <c r="K12" s="164">
        <f>ROUND($F$12+$H$12+$I$12+$J$12,2)</f>
        <v>25570.9</v>
      </c>
      <c r="L12" s="189" t="s">
        <v>209</v>
      </c>
    </row>
    <row r="13" spans="1:12" ht="24">
      <c r="A13" s="158">
        <v>3</v>
      </c>
      <c r="B13" s="159" t="s">
        <v>192</v>
      </c>
      <c r="C13" s="160"/>
      <c r="D13" s="161"/>
      <c r="E13" s="158" t="s">
        <v>112</v>
      </c>
      <c r="F13" s="162">
        <v>21351.4</v>
      </c>
      <c r="G13" s="163">
        <v>0</v>
      </c>
      <c r="H13" s="163">
        <v>0</v>
      </c>
      <c r="I13" s="163">
        <v>0</v>
      </c>
      <c r="J13" s="163">
        <v>4100</v>
      </c>
      <c r="K13" s="164">
        <f>ROUND($F$13+$H$13+$I$13+$J$13,2)</f>
        <v>25451.4</v>
      </c>
      <c r="L13" s="189" t="s">
        <v>210</v>
      </c>
    </row>
    <row r="14" spans="1:12" ht="24">
      <c r="A14" s="158">
        <v>4</v>
      </c>
      <c r="B14" s="159" t="s">
        <v>170</v>
      </c>
      <c r="C14" s="160"/>
      <c r="D14" s="161"/>
      <c r="E14" s="158" t="s">
        <v>112</v>
      </c>
      <c r="F14" s="162">
        <v>0</v>
      </c>
      <c r="G14" s="163">
        <v>0</v>
      </c>
      <c r="H14" s="163">
        <v>0</v>
      </c>
      <c r="I14" s="163">
        <v>0</v>
      </c>
      <c r="J14" s="163">
        <v>3300</v>
      </c>
      <c r="K14" s="164">
        <f>ROUND($F$14+$H$14+$I$14+$J$14,2)</f>
        <v>3300</v>
      </c>
      <c r="L14" s="189" t="s">
        <v>18</v>
      </c>
    </row>
    <row r="15" spans="1:12" ht="24">
      <c r="A15" s="158">
        <v>5</v>
      </c>
      <c r="B15" s="159" t="s">
        <v>169</v>
      </c>
      <c r="C15" s="160"/>
      <c r="D15" s="161"/>
      <c r="E15" s="158" t="s">
        <v>112</v>
      </c>
      <c r="F15" s="162">
        <v>0</v>
      </c>
      <c r="G15" s="163">
        <v>0</v>
      </c>
      <c r="H15" s="163">
        <v>0</v>
      </c>
      <c r="I15" s="163">
        <v>0</v>
      </c>
      <c r="J15" s="163">
        <v>3300</v>
      </c>
      <c r="K15" s="164">
        <f>ROUND($F$15+$H$15+$I$15+$J$15,2)</f>
        <v>3300</v>
      </c>
      <c r="L15" s="189" t="s">
        <v>18</v>
      </c>
    </row>
    <row r="16" spans="1:12" ht="24">
      <c r="A16" s="158">
        <v>6</v>
      </c>
      <c r="B16" s="159" t="s">
        <v>172</v>
      </c>
      <c r="C16" s="160"/>
      <c r="D16" s="161"/>
      <c r="E16" s="158" t="s">
        <v>173</v>
      </c>
      <c r="F16" s="162">
        <v>67.29</v>
      </c>
      <c r="G16" s="163">
        <v>0</v>
      </c>
      <c r="H16" s="163">
        <v>0</v>
      </c>
      <c r="I16" s="163">
        <v>0</v>
      </c>
      <c r="J16" s="163">
        <v>0</v>
      </c>
      <c r="K16" s="164">
        <f>ROUND($F$16+$H$16+$I$16+$J$16,2)</f>
        <v>67.29</v>
      </c>
      <c r="L16" s="189" t="s">
        <v>224</v>
      </c>
    </row>
    <row r="17" spans="1:12" ht="24">
      <c r="A17" s="158">
        <v>7</v>
      </c>
      <c r="B17" s="160" t="s">
        <v>113</v>
      </c>
      <c r="C17" s="160"/>
      <c r="D17" s="161"/>
      <c r="E17" s="158" t="s">
        <v>112</v>
      </c>
      <c r="F17" s="162">
        <v>2803.74</v>
      </c>
      <c r="G17" s="163">
        <v>0</v>
      </c>
      <c r="H17" s="163">
        <v>0</v>
      </c>
      <c r="I17" s="163">
        <v>0</v>
      </c>
      <c r="J17" s="163">
        <v>0</v>
      </c>
      <c r="K17" s="164">
        <f>ROUND($F$17+$H$17+$I$17+$J$17,2)</f>
        <v>2803.74</v>
      </c>
      <c r="L17" s="189" t="s">
        <v>225</v>
      </c>
    </row>
    <row r="18" spans="1:12" ht="24">
      <c r="A18" s="158">
        <v>8</v>
      </c>
      <c r="B18" s="160" t="s">
        <v>114</v>
      </c>
      <c r="C18" s="160"/>
      <c r="D18" s="161"/>
      <c r="E18" s="158" t="s">
        <v>17</v>
      </c>
      <c r="F18" s="162">
        <v>400.47</v>
      </c>
      <c r="G18" s="163">
        <v>65</v>
      </c>
      <c r="H18" s="179">
        <v>135.37</v>
      </c>
      <c r="I18" s="163">
        <v>0</v>
      </c>
      <c r="J18" s="163">
        <v>0</v>
      </c>
      <c r="K18" s="164">
        <f>ROUND($F$18+$H$18+$I$18+$J$18,2)</f>
        <v>535.84</v>
      </c>
      <c r="L18" s="189" t="s">
        <v>226</v>
      </c>
    </row>
    <row r="19" spans="1:12" ht="24">
      <c r="A19" s="158">
        <v>9</v>
      </c>
      <c r="B19" s="160" t="s">
        <v>115</v>
      </c>
      <c r="C19" s="160"/>
      <c r="D19" s="161"/>
      <c r="E19" s="158" t="s">
        <v>17</v>
      </c>
      <c r="F19" s="162">
        <v>470.09</v>
      </c>
      <c r="G19" s="163">
        <v>65</v>
      </c>
      <c r="H19" s="179">
        <v>135.37</v>
      </c>
      <c r="I19" s="163">
        <v>0</v>
      </c>
      <c r="J19" s="163">
        <v>0</v>
      </c>
      <c r="K19" s="164">
        <f>ROUND($F$19+$H$19+$I$19+$J$19,2)</f>
        <v>605.46</v>
      </c>
      <c r="L19" s="189" t="s">
        <v>227</v>
      </c>
    </row>
    <row r="20" spans="1:12" ht="24">
      <c r="A20" s="158">
        <v>10</v>
      </c>
      <c r="B20" s="160" t="s">
        <v>116</v>
      </c>
      <c r="C20" s="160"/>
      <c r="D20" s="161"/>
      <c r="E20" s="158" t="s">
        <v>17</v>
      </c>
      <c r="F20" s="162">
        <v>0</v>
      </c>
      <c r="G20" s="163">
        <v>0</v>
      </c>
      <c r="H20" s="163">
        <v>0</v>
      </c>
      <c r="I20" s="163">
        <v>0</v>
      </c>
      <c r="J20" s="163">
        <v>0</v>
      </c>
      <c r="K20" s="164">
        <f>ROUND($F$20+$H$20+$I$20+$J$20,2)</f>
        <v>0</v>
      </c>
      <c r="L20" s="189" t="s">
        <v>18</v>
      </c>
    </row>
    <row r="21" spans="1:12" ht="24">
      <c r="A21" s="158">
        <v>11</v>
      </c>
      <c r="B21" s="165" t="s">
        <v>131</v>
      </c>
      <c r="C21" s="160"/>
      <c r="D21" s="161"/>
      <c r="E21" s="158" t="s">
        <v>17</v>
      </c>
      <c r="F21" s="180">
        <v>0</v>
      </c>
      <c r="G21" s="163">
        <v>0</v>
      </c>
      <c r="H21" s="163">
        <v>0</v>
      </c>
      <c r="I21" s="163">
        <v>0</v>
      </c>
      <c r="J21" s="163">
        <v>0</v>
      </c>
      <c r="K21" s="164">
        <f>ROUND($F$21+$H$21+$I$21+$J$21,2)</f>
        <v>0</v>
      </c>
      <c r="L21" s="190" t="s">
        <v>18</v>
      </c>
    </row>
    <row r="22" spans="1:12" ht="24">
      <c r="A22" s="158">
        <v>12</v>
      </c>
      <c r="B22" s="166" t="s">
        <v>119</v>
      </c>
      <c r="C22" s="160"/>
      <c r="D22" s="161"/>
      <c r="E22" s="158" t="s">
        <v>117</v>
      </c>
      <c r="F22" s="167">
        <v>0</v>
      </c>
      <c r="G22" s="163">
        <v>0</v>
      </c>
      <c r="H22" s="163">
        <v>0</v>
      </c>
      <c r="I22" s="163">
        <v>0</v>
      </c>
      <c r="J22" s="163">
        <v>0</v>
      </c>
      <c r="K22" s="164">
        <f>ROUND($F$22+$H$22+$I$22+$J$22,2)</f>
        <v>0</v>
      </c>
      <c r="L22" s="190" t="s">
        <v>18</v>
      </c>
    </row>
    <row r="23" spans="1:12" ht="24">
      <c r="A23" s="158">
        <v>13</v>
      </c>
      <c r="B23" s="160" t="s">
        <v>120</v>
      </c>
      <c r="C23" s="160"/>
      <c r="D23" s="161"/>
      <c r="E23" s="158" t="s">
        <v>121</v>
      </c>
      <c r="F23" s="162">
        <v>696.26</v>
      </c>
      <c r="G23" s="163">
        <v>0</v>
      </c>
      <c r="H23" s="163">
        <v>0</v>
      </c>
      <c r="I23" s="163">
        <v>0</v>
      </c>
      <c r="J23" s="163">
        <v>0</v>
      </c>
      <c r="K23" s="164">
        <f>ROUND($F$23+$H$23+$I$23+$J$23,2)</f>
        <v>696.26</v>
      </c>
      <c r="L23" s="189" t="s">
        <v>211</v>
      </c>
    </row>
    <row r="24" spans="1:12" ht="24">
      <c r="A24" s="158">
        <v>14</v>
      </c>
      <c r="B24" s="160" t="s">
        <v>122</v>
      </c>
      <c r="C24" s="160"/>
      <c r="D24" s="161"/>
      <c r="E24" s="158" t="s">
        <v>121</v>
      </c>
      <c r="F24" s="162">
        <v>582.24</v>
      </c>
      <c r="G24" s="163">
        <v>0</v>
      </c>
      <c r="H24" s="163">
        <v>0</v>
      </c>
      <c r="I24" s="163">
        <v>0</v>
      </c>
      <c r="J24" s="163">
        <v>0</v>
      </c>
      <c r="K24" s="164">
        <f>ROUND($F$24+$H$24+$I$24+$J$24,2)</f>
        <v>582.24</v>
      </c>
      <c r="L24" s="189" t="s">
        <v>212</v>
      </c>
    </row>
    <row r="25" spans="1:12" ht="26.25">
      <c r="A25" s="158">
        <v>15</v>
      </c>
      <c r="B25" s="160" t="s">
        <v>123</v>
      </c>
      <c r="C25" s="160"/>
      <c r="D25" s="161"/>
      <c r="E25" s="158" t="s">
        <v>117</v>
      </c>
      <c r="F25" s="167">
        <v>0</v>
      </c>
      <c r="G25" s="163">
        <v>0</v>
      </c>
      <c r="H25" s="163">
        <v>0</v>
      </c>
      <c r="I25" s="163">
        <v>0</v>
      </c>
      <c r="J25" s="163">
        <v>0</v>
      </c>
      <c r="K25" s="164">
        <f>ROUND($F$25+$H$25+$I$25+$J$25,2)</f>
        <v>0</v>
      </c>
      <c r="L25" s="190" t="s">
        <v>18</v>
      </c>
    </row>
    <row r="26" spans="1:12" ht="24">
      <c r="A26" s="158">
        <v>16</v>
      </c>
      <c r="B26" s="168" t="s">
        <v>124</v>
      </c>
      <c r="C26" s="160"/>
      <c r="D26" s="161"/>
      <c r="E26" s="158" t="s">
        <v>81</v>
      </c>
      <c r="F26" s="162">
        <v>37.38</v>
      </c>
      <c r="G26" s="163">
        <v>0</v>
      </c>
      <c r="H26" s="163">
        <v>0</v>
      </c>
      <c r="I26" s="163">
        <v>0</v>
      </c>
      <c r="J26" s="163">
        <v>0</v>
      </c>
      <c r="K26" s="164">
        <f>ROUND($F$26+$H$26+$I$26+$J$26,2)</f>
        <v>37.38</v>
      </c>
      <c r="L26" s="191" t="s">
        <v>228</v>
      </c>
    </row>
    <row r="27" spans="1:12" ht="24">
      <c r="A27" s="158">
        <v>17</v>
      </c>
      <c r="B27" s="168" t="s">
        <v>206</v>
      </c>
      <c r="C27" s="160"/>
      <c r="D27" s="161"/>
      <c r="E27" s="158" t="s">
        <v>117</v>
      </c>
      <c r="F27" s="162">
        <v>660</v>
      </c>
      <c r="G27" s="163">
        <v>0</v>
      </c>
      <c r="H27" s="163">
        <v>0</v>
      </c>
      <c r="I27" s="163">
        <v>0</v>
      </c>
      <c r="J27" s="163">
        <v>0</v>
      </c>
      <c r="K27" s="164">
        <f>ROUND($F$27+$H$27+$I$27+$J$27,2)</f>
        <v>660</v>
      </c>
      <c r="L27" s="191" t="s">
        <v>118</v>
      </c>
    </row>
    <row r="28" spans="1:12" ht="24">
      <c r="A28" s="158">
        <v>19</v>
      </c>
      <c r="B28" s="53" t="s">
        <v>196</v>
      </c>
      <c r="C28" s="160"/>
      <c r="D28" s="161"/>
      <c r="E28" s="158" t="s">
        <v>117</v>
      </c>
      <c r="F28" s="162">
        <v>1150</v>
      </c>
      <c r="G28" s="163">
        <v>0</v>
      </c>
      <c r="H28" s="163">
        <v>0</v>
      </c>
      <c r="I28" s="163">
        <v>0</v>
      </c>
      <c r="J28" s="163">
        <v>0</v>
      </c>
      <c r="K28" s="164">
        <f>ROUND($F$28+$H$28+$I$28+$J$28,2)</f>
        <v>1150</v>
      </c>
      <c r="L28" s="191" t="s">
        <v>118</v>
      </c>
    </row>
    <row r="29" spans="1:12" ht="24">
      <c r="A29" s="158">
        <v>20</v>
      </c>
      <c r="B29" s="169" t="s">
        <v>201</v>
      </c>
      <c r="C29" s="160"/>
      <c r="D29" s="161"/>
      <c r="E29" s="158" t="s">
        <v>117</v>
      </c>
      <c r="F29" s="162">
        <v>430</v>
      </c>
      <c r="G29" s="163">
        <v>0</v>
      </c>
      <c r="H29" s="163">
        <v>0</v>
      </c>
      <c r="I29" s="163">
        <v>0</v>
      </c>
      <c r="J29" s="163">
        <v>0</v>
      </c>
      <c r="K29" s="164">
        <f>ROUND($F$29+$H$29+$I$29+$J$29,2)</f>
        <v>430</v>
      </c>
      <c r="L29" s="191" t="s">
        <v>118</v>
      </c>
    </row>
    <row r="30" spans="1:12" ht="24">
      <c r="A30" s="158">
        <v>21</v>
      </c>
      <c r="B30" s="169" t="s">
        <v>174</v>
      </c>
      <c r="C30" s="160"/>
      <c r="D30" s="161"/>
      <c r="E30" s="158" t="s">
        <v>21</v>
      </c>
      <c r="F30" s="167">
        <v>0</v>
      </c>
      <c r="G30" s="163">
        <v>0</v>
      </c>
      <c r="H30" s="163">
        <v>0</v>
      </c>
      <c r="I30" s="163">
        <v>0</v>
      </c>
      <c r="J30" s="163">
        <v>0</v>
      </c>
      <c r="K30" s="164">
        <f>ROUND($F$30+$H$30+$I$30+$J$30,2)</f>
        <v>0</v>
      </c>
      <c r="L30" s="189" t="s">
        <v>18</v>
      </c>
    </row>
    <row r="31" spans="1:12" ht="24">
      <c r="A31" s="158">
        <v>22</v>
      </c>
      <c r="B31" s="169" t="s">
        <v>82</v>
      </c>
      <c r="C31" s="160"/>
      <c r="D31" s="161"/>
      <c r="E31" s="158" t="s">
        <v>83</v>
      </c>
      <c r="F31" s="167">
        <v>0</v>
      </c>
      <c r="G31" s="163">
        <v>0</v>
      </c>
      <c r="H31" s="163">
        <v>0</v>
      </c>
      <c r="I31" s="163">
        <v>0</v>
      </c>
      <c r="J31" s="163">
        <v>0</v>
      </c>
      <c r="K31" s="164">
        <f>ROUND($F$31+$H$31+$I$31+$J$31,2)</f>
        <v>0</v>
      </c>
      <c r="L31" s="189" t="s">
        <v>18</v>
      </c>
    </row>
    <row r="32" spans="1:12" ht="24">
      <c r="A32" s="158">
        <v>23</v>
      </c>
      <c r="B32" s="169" t="s">
        <v>84</v>
      </c>
      <c r="C32" s="160"/>
      <c r="D32" s="161"/>
      <c r="E32" s="158" t="s">
        <v>33</v>
      </c>
      <c r="F32" s="167">
        <v>0</v>
      </c>
      <c r="G32" s="163">
        <v>0</v>
      </c>
      <c r="H32" s="163">
        <v>0</v>
      </c>
      <c r="I32" s="163">
        <v>0</v>
      </c>
      <c r="J32" s="163">
        <v>0</v>
      </c>
      <c r="K32" s="164">
        <f>ROUND($F$32+$H$32+$I$32+$J$32,2)</f>
        <v>0</v>
      </c>
      <c r="L32" s="189" t="s">
        <v>18</v>
      </c>
    </row>
    <row r="33" spans="1:12" ht="24">
      <c r="A33" s="158"/>
      <c r="B33" s="169"/>
      <c r="C33" s="160"/>
      <c r="D33" s="161"/>
      <c r="E33" s="158"/>
      <c r="F33" s="181"/>
      <c r="G33" s="163"/>
      <c r="H33" s="163"/>
      <c r="I33" s="163"/>
      <c r="J33" s="163"/>
      <c r="K33" s="164"/>
      <c r="L33" s="158"/>
    </row>
    <row r="34" spans="1:12" ht="24">
      <c r="A34" s="170"/>
      <c r="B34" s="171"/>
      <c r="C34" s="172"/>
      <c r="D34" s="173"/>
      <c r="E34" s="174"/>
      <c r="F34" s="175"/>
      <c r="G34" s="174"/>
      <c r="H34" s="174"/>
      <c r="I34" s="174"/>
      <c r="J34" s="174"/>
      <c r="K34" s="174"/>
      <c r="L34" s="174"/>
    </row>
    <row r="35" ht="24">
      <c r="A35" s="2"/>
    </row>
  </sheetData>
  <sheetProtection/>
  <mergeCells count="2">
    <mergeCell ref="A1:L1"/>
    <mergeCell ref="B8:D8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6.8515625" style="1" customWidth="1"/>
    <col min="2" max="2" width="20.00390625" style="1" customWidth="1"/>
    <col min="3" max="3" width="4.7109375" style="1" customWidth="1"/>
    <col min="4" max="4" width="4.140625" style="1" customWidth="1"/>
    <col min="5" max="5" width="9.421875" style="1" customWidth="1"/>
    <col min="6" max="10" width="11.57421875" style="1" customWidth="1"/>
    <col min="11" max="16384" width="9.00390625" style="1" customWidth="1"/>
  </cols>
  <sheetData>
    <row r="1" spans="1:10" ht="24">
      <c r="A1" s="16" t="s">
        <v>162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>
      <c r="A2" s="16" t="s">
        <v>88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4.25" customHeight="1">
      <c r="A3" s="229" t="s">
        <v>89</v>
      </c>
      <c r="B3" s="230"/>
      <c r="C3" s="230"/>
      <c r="D3" s="230"/>
      <c r="E3" s="230"/>
      <c r="F3" s="229" t="s">
        <v>90</v>
      </c>
      <c r="G3" s="227" t="s">
        <v>91</v>
      </c>
      <c r="H3" s="227" t="s">
        <v>92</v>
      </c>
      <c r="I3" s="227" t="s">
        <v>93</v>
      </c>
      <c r="J3" s="227" t="s">
        <v>94</v>
      </c>
    </row>
    <row r="4" spans="1:10" ht="14.25" customHeight="1">
      <c r="A4" s="231"/>
      <c r="B4" s="232"/>
      <c r="C4" s="232"/>
      <c r="D4" s="232"/>
      <c r="E4" s="232"/>
      <c r="F4" s="231"/>
      <c r="G4" s="228"/>
      <c r="H4" s="228"/>
      <c r="I4" s="228"/>
      <c r="J4" s="228"/>
    </row>
    <row r="5" spans="1:10" ht="24">
      <c r="A5" s="233" t="s">
        <v>95</v>
      </c>
      <c r="B5" s="234"/>
      <c r="C5" s="234"/>
      <c r="D5" s="234"/>
      <c r="E5" s="234"/>
      <c r="F5" s="65" t="s">
        <v>96</v>
      </c>
      <c r="G5" s="65" t="s">
        <v>97</v>
      </c>
      <c r="H5" s="66" t="s">
        <v>98</v>
      </c>
      <c r="I5" s="66" t="s">
        <v>99</v>
      </c>
      <c r="J5" s="66" t="s">
        <v>100</v>
      </c>
    </row>
    <row r="6" spans="1:10" ht="24">
      <c r="A6" s="67" t="s">
        <v>101</v>
      </c>
      <c r="B6" s="61"/>
      <c r="C6" s="57">
        <v>1.05</v>
      </c>
      <c r="D6" s="57" t="s">
        <v>85</v>
      </c>
      <c r="E6" s="68">
        <f>ค่าวัสดุและดำเนินการ!K17</f>
        <v>2803.74</v>
      </c>
      <c r="F6" s="69">
        <f>ROUND($E$6*$C$6*0.4,2)</f>
        <v>1177.57</v>
      </c>
      <c r="G6" s="70">
        <f>ROUND($E$6*$C$6*0.35,2)</f>
        <v>1030.37</v>
      </c>
      <c r="H6" s="70">
        <f>ROUND($E$6*$C$6*0.32,2)</f>
        <v>942.06</v>
      </c>
      <c r="I6" s="70">
        <f>ROUND($E$6*$C$6*0.29,2)</f>
        <v>853.74</v>
      </c>
      <c r="J6" s="70">
        <f>ROUND($E$6*$C$6*0.24,2)</f>
        <v>706.54</v>
      </c>
    </row>
    <row r="7" spans="1:10" ht="24">
      <c r="A7" s="67" t="s">
        <v>102</v>
      </c>
      <c r="B7" s="61"/>
      <c r="C7" s="62">
        <v>1.2</v>
      </c>
      <c r="D7" s="57" t="s">
        <v>85</v>
      </c>
      <c r="E7" s="71">
        <f>ค่าวัสดุและดำเนินการ!K18</f>
        <v>535.84</v>
      </c>
      <c r="F7" s="69">
        <f>ROUND($E$7*$C$7*0.524,2)</f>
        <v>336.94</v>
      </c>
      <c r="G7" s="70">
        <f>ROUND($E$7*$C$7*0.572,2)</f>
        <v>367.8</v>
      </c>
      <c r="H7" s="70">
        <f>ROUND($E$7*$C$7*0.596,2)</f>
        <v>383.23</v>
      </c>
      <c r="I7" s="70">
        <f>ROUND($E$7*$C$7*0.62,2)</f>
        <v>398.66</v>
      </c>
      <c r="J7" s="70">
        <f>ROUND($E$7*$C$7*0.52,2)</f>
        <v>334.36</v>
      </c>
    </row>
    <row r="8" spans="1:10" ht="24">
      <c r="A8" s="67" t="s">
        <v>103</v>
      </c>
      <c r="B8" s="61"/>
      <c r="C8" s="57">
        <v>1.15</v>
      </c>
      <c r="D8" s="57" t="s">
        <v>85</v>
      </c>
      <c r="E8" s="71">
        <f>ค่าวัสดุและดำเนินการ!K19</f>
        <v>605.46</v>
      </c>
      <c r="F8" s="69">
        <f>ROUND($E$8*$C$8*0.728,2)</f>
        <v>506.89</v>
      </c>
      <c r="G8" s="70">
        <f>ROUND($E$8*$C$8*0.736,2)</f>
        <v>512.46</v>
      </c>
      <c r="H8" s="70">
        <f>ROUND($E$8*$C$8*0.764,2)</f>
        <v>531.96</v>
      </c>
      <c r="I8" s="70">
        <f>ROUND($E$8*$C$8*0.725,2)</f>
        <v>504.8</v>
      </c>
      <c r="J8" s="70">
        <f>ROUND($E$8*$C$8*0.87,2)</f>
        <v>605.76</v>
      </c>
    </row>
    <row r="9" spans="1:10" ht="24">
      <c r="A9" s="67" t="s">
        <v>164</v>
      </c>
      <c r="B9" s="61"/>
      <c r="C9" s="61"/>
      <c r="D9" s="61"/>
      <c r="E9" s="57"/>
      <c r="F9" s="76"/>
      <c r="G9" s="76"/>
      <c r="H9" s="76">
        <v>398</v>
      </c>
      <c r="I9" s="76"/>
      <c r="J9" s="76">
        <v>398</v>
      </c>
    </row>
    <row r="10" spans="1:10" ht="24">
      <c r="A10" s="233" t="s">
        <v>12</v>
      </c>
      <c r="B10" s="234"/>
      <c r="C10" s="234"/>
      <c r="D10" s="234"/>
      <c r="E10" s="234"/>
      <c r="F10" s="77"/>
      <c r="G10" s="77"/>
      <c r="H10" s="77">
        <f>ROUNDDOWN(SUM(H6:H9),2)</f>
        <v>2255.25</v>
      </c>
      <c r="I10" s="77"/>
      <c r="J10" s="77">
        <f>ROUNDDOWN(SUM(J6:J9),2)</f>
        <v>2044.66</v>
      </c>
    </row>
    <row r="11" spans="1:10" ht="24">
      <c r="A11" s="57"/>
      <c r="B11" s="57"/>
      <c r="C11" s="57"/>
      <c r="D11" s="57"/>
      <c r="E11" s="57"/>
      <c r="F11" s="63"/>
      <c r="G11" s="63"/>
      <c r="H11" s="63"/>
      <c r="I11" s="63"/>
      <c r="J11" s="63"/>
    </row>
    <row r="12" spans="1:10" ht="24">
      <c r="A12" s="57"/>
      <c r="B12" s="57"/>
      <c r="C12" s="57"/>
      <c r="D12" s="57"/>
      <c r="E12" s="57"/>
      <c r="F12" s="63"/>
      <c r="G12" s="63"/>
      <c r="H12" s="63"/>
      <c r="I12" s="63"/>
      <c r="J12" s="63"/>
    </row>
    <row r="13" spans="1:10" ht="24">
      <c r="A13" s="57"/>
      <c r="B13" s="57"/>
      <c r="C13" s="57"/>
      <c r="D13" s="57"/>
      <c r="E13" s="57"/>
      <c r="F13" s="63"/>
      <c r="G13" s="63"/>
      <c r="H13" s="63"/>
      <c r="I13" s="63"/>
      <c r="J13" s="63"/>
    </row>
    <row r="14" spans="1:10" ht="24">
      <c r="A14" s="57"/>
      <c r="B14" s="57"/>
      <c r="C14" s="57"/>
      <c r="D14" s="57"/>
      <c r="E14" s="57"/>
      <c r="F14" s="63"/>
      <c r="G14" s="63"/>
      <c r="H14" s="63"/>
      <c r="I14" s="63"/>
      <c r="J14" s="63"/>
    </row>
    <row r="15" spans="1:10" ht="24">
      <c r="A15" s="57"/>
      <c r="B15" s="57"/>
      <c r="C15" s="57"/>
      <c r="D15" s="57"/>
      <c r="E15" s="57"/>
      <c r="F15" s="63"/>
      <c r="G15" s="63"/>
      <c r="H15" s="63"/>
      <c r="I15" s="63"/>
      <c r="J15" s="63"/>
    </row>
    <row r="16" spans="1:10" ht="24">
      <c r="A16" s="57"/>
      <c r="B16" s="57"/>
      <c r="C16" s="57"/>
      <c r="D16" s="57"/>
      <c r="E16" s="57"/>
      <c r="F16" s="63"/>
      <c r="G16" s="63"/>
      <c r="H16" s="63"/>
      <c r="I16" s="63"/>
      <c r="J16" s="63"/>
    </row>
    <row r="17" spans="1:10" ht="24">
      <c r="A17" s="57"/>
      <c r="B17" s="57"/>
      <c r="C17" s="57"/>
      <c r="D17" s="57"/>
      <c r="E17" s="57"/>
      <c r="F17" s="63"/>
      <c r="G17" s="63"/>
      <c r="H17" s="63"/>
      <c r="I17" s="63"/>
      <c r="J17" s="63"/>
    </row>
    <row r="18" spans="1:10" ht="24">
      <c r="A18" s="57"/>
      <c r="B18" s="57"/>
      <c r="C18" s="57"/>
      <c r="D18" s="57"/>
      <c r="E18" s="57"/>
      <c r="F18" s="63"/>
      <c r="G18" s="63"/>
      <c r="H18" s="63"/>
      <c r="I18" s="63"/>
      <c r="J18" s="63"/>
    </row>
    <row r="19" spans="1:10" ht="24">
      <c r="A19" s="57"/>
      <c r="B19" s="57"/>
      <c r="C19" s="57"/>
      <c r="D19" s="57"/>
      <c r="E19" s="57"/>
      <c r="F19" s="63"/>
      <c r="G19" s="63"/>
      <c r="H19" s="63"/>
      <c r="I19" s="63"/>
      <c r="J19" s="63"/>
    </row>
    <row r="20" spans="1:10" ht="24">
      <c r="A20" s="57"/>
      <c r="B20" s="57"/>
      <c r="C20" s="57"/>
      <c r="D20" s="57"/>
      <c r="E20" s="57"/>
      <c r="F20" s="63"/>
      <c r="G20" s="63"/>
      <c r="H20" s="63"/>
      <c r="I20" s="63"/>
      <c r="J20" s="63"/>
    </row>
    <row r="21" spans="1:10" ht="24">
      <c r="A21" s="57"/>
      <c r="B21" s="57"/>
      <c r="C21" s="57"/>
      <c r="D21" s="57"/>
      <c r="E21" s="57"/>
      <c r="F21" s="63"/>
      <c r="G21" s="63"/>
      <c r="H21" s="63"/>
      <c r="I21" s="63"/>
      <c r="J21" s="63"/>
    </row>
    <row r="22" spans="1:10" ht="24">
      <c r="A22" s="57"/>
      <c r="B22" s="57"/>
      <c r="C22" s="57"/>
      <c r="D22" s="57"/>
      <c r="E22" s="57"/>
      <c r="F22" s="63"/>
      <c r="G22" s="63"/>
      <c r="H22" s="63"/>
      <c r="I22" s="63"/>
      <c r="J22" s="63"/>
    </row>
    <row r="23" spans="1:10" ht="24">
      <c r="A23" s="57"/>
      <c r="B23" s="57"/>
      <c r="C23" s="57"/>
      <c r="D23" s="57"/>
      <c r="E23" s="57"/>
      <c r="F23" s="63"/>
      <c r="G23" s="63"/>
      <c r="H23" s="63"/>
      <c r="I23" s="63"/>
      <c r="J23" s="63"/>
    </row>
    <row r="24" spans="1:10" ht="24">
      <c r="A24" s="57"/>
      <c r="B24" s="57"/>
      <c r="C24" s="57"/>
      <c r="D24" s="57"/>
      <c r="E24" s="57"/>
      <c r="F24" s="63"/>
      <c r="G24" s="63"/>
      <c r="H24" s="63"/>
      <c r="I24" s="63"/>
      <c r="J24" s="63"/>
    </row>
    <row r="25" spans="1:10" ht="24">
      <c r="A25" s="57"/>
      <c r="B25" s="57"/>
      <c r="C25" s="57"/>
      <c r="D25" s="57"/>
      <c r="E25" s="57"/>
      <c r="F25" s="63"/>
      <c r="G25" s="63"/>
      <c r="H25" s="63"/>
      <c r="I25" s="63"/>
      <c r="J25" s="63"/>
    </row>
    <row r="26" spans="1:10" ht="24">
      <c r="A26" s="57"/>
      <c r="B26" s="57"/>
      <c r="C26" s="57"/>
      <c r="D26" s="57"/>
      <c r="E26" s="57"/>
      <c r="F26" s="63"/>
      <c r="G26" s="63"/>
      <c r="H26" s="63"/>
      <c r="I26" s="63"/>
      <c r="J26" s="63"/>
    </row>
    <row r="27" spans="1:10" ht="24">
      <c r="A27" s="57"/>
      <c r="B27" s="57"/>
      <c r="C27" s="57"/>
      <c r="D27" s="57"/>
      <c r="E27" s="57"/>
      <c r="F27" s="63"/>
      <c r="G27" s="63"/>
      <c r="H27" s="63"/>
      <c r="I27" s="63"/>
      <c r="J27" s="63"/>
    </row>
    <row r="28" spans="1:10" ht="24">
      <c r="A28" s="57"/>
      <c r="B28" s="57"/>
      <c r="C28" s="57"/>
      <c r="D28" s="57"/>
      <c r="E28" s="57"/>
      <c r="F28" s="63"/>
      <c r="G28" s="63"/>
      <c r="H28" s="63"/>
      <c r="I28" s="63"/>
      <c r="J28" s="63"/>
    </row>
    <row r="29" spans="1:10" ht="24">
      <c r="A29" s="57"/>
      <c r="B29" s="57"/>
      <c r="C29" s="57"/>
      <c r="D29" s="57"/>
      <c r="E29" s="57"/>
      <c r="F29" s="63"/>
      <c r="G29" s="63"/>
      <c r="H29" s="63"/>
      <c r="I29" s="63"/>
      <c r="J29" s="63"/>
    </row>
    <row r="30" spans="1:10" ht="24">
      <c r="A30" s="57"/>
      <c r="B30" s="57"/>
      <c r="C30" s="57"/>
      <c r="D30" s="57"/>
      <c r="E30" s="57"/>
      <c r="F30" s="63"/>
      <c r="G30" s="63"/>
      <c r="H30" s="63"/>
      <c r="I30" s="63"/>
      <c r="J30" s="63"/>
    </row>
    <row r="31" spans="1:10" ht="24">
      <c r="A31" s="57"/>
      <c r="B31" s="57"/>
      <c r="C31" s="57"/>
      <c r="D31" s="57"/>
      <c r="E31" s="57"/>
      <c r="F31" s="63"/>
      <c r="G31" s="63"/>
      <c r="H31" s="63"/>
      <c r="I31" s="63"/>
      <c r="J31" s="63"/>
    </row>
    <row r="32" spans="1:10" ht="24">
      <c r="A32" s="57"/>
      <c r="B32" s="57"/>
      <c r="C32" s="57"/>
      <c r="D32" s="57"/>
      <c r="E32" s="57"/>
      <c r="F32" s="63"/>
      <c r="G32" s="63"/>
      <c r="H32" s="63"/>
      <c r="I32" s="63"/>
      <c r="J32" s="63"/>
    </row>
    <row r="33" spans="1:10" ht="24">
      <c r="A33" s="57"/>
      <c r="B33" s="57"/>
      <c r="C33" s="57"/>
      <c r="D33" s="57"/>
      <c r="E33" s="57"/>
      <c r="F33" s="63"/>
      <c r="G33" s="63"/>
      <c r="H33" s="63"/>
      <c r="I33" s="63"/>
      <c r="J33" s="63"/>
    </row>
    <row r="34" spans="1:10" ht="24">
      <c r="A34" s="57"/>
      <c r="B34" s="57"/>
      <c r="C34" s="57"/>
      <c r="D34" s="57"/>
      <c r="E34" s="57"/>
      <c r="F34" s="63"/>
      <c r="G34" s="63"/>
      <c r="H34" s="63"/>
      <c r="I34" s="63"/>
      <c r="J34" s="63"/>
    </row>
    <row r="35" spans="1:10" ht="24">
      <c r="A35" s="57"/>
      <c r="B35" s="57"/>
      <c r="C35" s="57"/>
      <c r="D35" s="57"/>
      <c r="E35" s="57"/>
      <c r="F35" s="63"/>
      <c r="G35" s="63"/>
      <c r="H35" s="63"/>
      <c r="I35" s="63"/>
      <c r="J35" s="63"/>
    </row>
    <row r="36" spans="1:10" ht="24">
      <c r="A36" s="57"/>
      <c r="B36" s="57"/>
      <c r="C36" s="57"/>
      <c r="D36" s="57"/>
      <c r="E36" s="57"/>
      <c r="F36" s="63"/>
      <c r="G36" s="63"/>
      <c r="H36" s="63"/>
      <c r="I36" s="63"/>
      <c r="J36" s="63"/>
    </row>
    <row r="37" spans="1:10" ht="24">
      <c r="A37" s="57"/>
      <c r="B37" s="57"/>
      <c r="C37" s="57"/>
      <c r="D37" s="57"/>
      <c r="E37" s="57"/>
      <c r="F37" s="63"/>
      <c r="G37" s="63"/>
      <c r="H37" s="63"/>
      <c r="I37" s="63"/>
      <c r="J37" s="63"/>
    </row>
    <row r="38" spans="1:10" ht="24">
      <c r="A38" s="57"/>
      <c r="B38" s="57"/>
      <c r="C38" s="57"/>
      <c r="D38" s="57"/>
      <c r="E38" s="57"/>
      <c r="F38" s="63"/>
      <c r="G38" s="63"/>
      <c r="H38" s="63"/>
      <c r="I38" s="63"/>
      <c r="J38" s="63"/>
    </row>
    <row r="39" spans="1:10" ht="24">
      <c r="A39" s="57"/>
      <c r="B39" s="57"/>
      <c r="C39" s="57"/>
      <c r="D39" s="57"/>
      <c r="E39" s="57"/>
      <c r="F39" s="63"/>
      <c r="G39" s="63"/>
      <c r="H39" s="63"/>
      <c r="I39" s="63"/>
      <c r="J39" s="63"/>
    </row>
    <row r="40" spans="1:10" ht="24">
      <c r="A40" s="57"/>
      <c r="B40" s="57"/>
      <c r="C40" s="57"/>
      <c r="D40" s="57"/>
      <c r="E40" s="57"/>
      <c r="F40" s="63"/>
      <c r="G40" s="63"/>
      <c r="H40" s="63"/>
      <c r="I40" s="63"/>
      <c r="J40" s="63"/>
    </row>
    <row r="41" spans="1:10" ht="24">
      <c r="A41" s="57"/>
      <c r="B41" s="57"/>
      <c r="C41" s="57"/>
      <c r="D41" s="57"/>
      <c r="E41" s="57"/>
      <c r="F41" s="63"/>
      <c r="G41" s="63"/>
      <c r="H41" s="63"/>
      <c r="I41" s="63"/>
      <c r="J41" s="63"/>
    </row>
    <row r="42" spans="1:10" ht="24">
      <c r="A42" s="57"/>
      <c r="B42" s="57"/>
      <c r="C42" s="57"/>
      <c r="D42" s="57"/>
      <c r="E42" s="57"/>
      <c r="F42" s="63"/>
      <c r="G42" s="63"/>
      <c r="H42" s="63"/>
      <c r="I42" s="63"/>
      <c r="J42" s="63"/>
    </row>
    <row r="43" spans="1:10" ht="24">
      <c r="A43" s="57"/>
      <c r="B43" s="57"/>
      <c r="C43" s="57"/>
      <c r="D43" s="57"/>
      <c r="E43" s="57"/>
      <c r="F43" s="63"/>
      <c r="G43" s="63"/>
      <c r="H43" s="63"/>
      <c r="I43" s="63"/>
      <c r="J43" s="63"/>
    </row>
    <row r="44" spans="1:10" ht="24">
      <c r="A44" s="57"/>
      <c r="B44" s="57"/>
      <c r="C44" s="57"/>
      <c r="D44" s="57"/>
      <c r="E44" s="57"/>
      <c r="F44" s="63"/>
      <c r="G44" s="63"/>
      <c r="H44" s="63"/>
      <c r="I44" s="63"/>
      <c r="J44" s="63"/>
    </row>
    <row r="45" spans="1:10" ht="24">
      <c r="A45" s="16" t="s">
        <v>163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24">
      <c r="A46" s="229" t="s">
        <v>89</v>
      </c>
      <c r="B46" s="230"/>
      <c r="C46" s="230"/>
      <c r="D46" s="230"/>
      <c r="E46" s="230"/>
      <c r="F46" s="229" t="s">
        <v>104</v>
      </c>
      <c r="G46" s="227" t="s">
        <v>105</v>
      </c>
      <c r="H46" s="227" t="s">
        <v>106</v>
      </c>
      <c r="I46" s="227" t="s">
        <v>107</v>
      </c>
      <c r="J46" s="227" t="s">
        <v>108</v>
      </c>
    </row>
    <row r="47" spans="1:10" ht="24">
      <c r="A47" s="231"/>
      <c r="B47" s="232"/>
      <c r="C47" s="232"/>
      <c r="D47" s="232"/>
      <c r="E47" s="232"/>
      <c r="F47" s="231"/>
      <c r="G47" s="228"/>
      <c r="H47" s="228"/>
      <c r="I47" s="228"/>
      <c r="J47" s="228"/>
    </row>
    <row r="48" spans="1:10" ht="24">
      <c r="A48" s="67" t="s">
        <v>109</v>
      </c>
      <c r="B48" s="61"/>
      <c r="C48" s="57"/>
      <c r="D48" s="57"/>
      <c r="F48" s="150"/>
      <c r="G48" s="149"/>
      <c r="H48" s="70">
        <f>ค่าวัสดุและดำเนินการ!K11</f>
        <v>2200</v>
      </c>
      <c r="I48" s="149"/>
      <c r="J48" s="149"/>
    </row>
    <row r="49" spans="1:10" ht="24">
      <c r="A49" s="72" t="s">
        <v>110</v>
      </c>
      <c r="B49" s="73"/>
      <c r="C49" s="73"/>
      <c r="D49" s="73"/>
      <c r="E49" s="74"/>
      <c r="F49" s="75"/>
      <c r="G49" s="75"/>
      <c r="H49" s="76"/>
      <c r="I49" s="76"/>
      <c r="J49" s="76"/>
    </row>
    <row r="50" spans="1:10" ht="24">
      <c r="A50" s="233" t="s">
        <v>12</v>
      </c>
      <c r="B50" s="234"/>
      <c r="C50" s="234"/>
      <c r="D50" s="234"/>
      <c r="E50" s="234"/>
      <c r="F50" s="69">
        <f>ROUND(SUM(F48:F49),2)</f>
        <v>0</v>
      </c>
      <c r="G50" s="69">
        <f>ROUND(SUM(G48:G49),2)</f>
        <v>0</v>
      </c>
      <c r="H50" s="69">
        <f>ROUND(SUM(H48:H49),2)</f>
        <v>2200</v>
      </c>
      <c r="I50" s="69">
        <f>ROUND(SUM(I48:I49),2)</f>
        <v>0</v>
      </c>
      <c r="J50" s="77">
        <f>ROUND(SUM(J48:J49),2)</f>
        <v>0</v>
      </c>
    </row>
  </sheetData>
  <sheetProtection/>
  <mergeCells count="15"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  <mergeCell ref="J3:J4"/>
    <mergeCell ref="A3:E4"/>
    <mergeCell ref="F3:F4"/>
    <mergeCell ref="G3:G4"/>
    <mergeCell ref="H3:H4"/>
    <mergeCell ref="I3:I4"/>
  </mergeCells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zoomScalePageLayoutView="0" workbookViewId="0" topLeftCell="A1">
      <selection activeCell="F17" sqref="F17"/>
    </sheetView>
  </sheetViews>
  <sheetFormatPr defaultColWidth="9.140625" defaultRowHeight="15"/>
  <cols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</cols>
  <sheetData>
    <row r="1" spans="1:10" ht="24">
      <c r="A1" s="78">
        <v>1</v>
      </c>
      <c r="B1" s="45" t="s">
        <v>193</v>
      </c>
      <c r="C1" s="83"/>
      <c r="D1" s="84"/>
      <c r="E1" s="47"/>
      <c r="F1" s="83"/>
      <c r="G1" s="47"/>
      <c r="H1" s="47"/>
      <c r="I1" s="85"/>
      <c r="J1" s="86"/>
    </row>
    <row r="2" spans="1:10" ht="24">
      <c r="A2" s="78"/>
      <c r="B2" s="14" t="s">
        <v>129</v>
      </c>
      <c r="C2" s="14"/>
      <c r="D2" s="14"/>
      <c r="E2" s="52"/>
      <c r="F2" s="18"/>
      <c r="G2" s="47"/>
      <c r="H2" s="47" t="s">
        <v>20</v>
      </c>
      <c r="I2" s="110">
        <f>ค่าวัสดุและดำเนินการ!K18</f>
        <v>535.84</v>
      </c>
      <c r="J2" s="86" t="s">
        <v>145</v>
      </c>
    </row>
    <row r="3" spans="1:10" ht="24">
      <c r="A3" s="78"/>
      <c r="B3" s="105" t="s">
        <v>130</v>
      </c>
      <c r="C3" s="46"/>
      <c r="D3" s="87">
        <v>0</v>
      </c>
      <c r="E3" s="48" t="s">
        <v>126</v>
      </c>
      <c r="G3" s="47"/>
      <c r="H3" s="47" t="s">
        <v>20</v>
      </c>
      <c r="I3" s="88">
        <v>0</v>
      </c>
      <c r="J3" s="86" t="s">
        <v>145</v>
      </c>
    </row>
    <row r="4" spans="1:10" ht="24">
      <c r="A4" s="78"/>
      <c r="B4" s="46" t="s">
        <v>72</v>
      </c>
      <c r="C4" s="46"/>
      <c r="D4" s="46"/>
      <c r="E4" s="47"/>
      <c r="F4" s="48"/>
      <c r="G4" s="47"/>
      <c r="H4" s="47"/>
      <c r="I4" s="108">
        <f>ROUND(SUM(I1:I3),2)</f>
        <v>535.84</v>
      </c>
      <c r="J4" s="86" t="s">
        <v>145</v>
      </c>
    </row>
    <row r="5" spans="1:10" ht="24">
      <c r="A5" s="78"/>
      <c r="B5" s="46" t="s">
        <v>146</v>
      </c>
      <c r="C5" s="46"/>
      <c r="D5" s="106">
        <f>I4</f>
        <v>535.84</v>
      </c>
      <c r="E5" s="47"/>
      <c r="F5" s="48"/>
      <c r="G5" s="47"/>
      <c r="H5" s="47" t="s">
        <v>20</v>
      </c>
      <c r="I5" s="107">
        <f>ROUND(D5*1.25,2)</f>
        <v>669.8</v>
      </c>
      <c r="J5" s="86" t="s">
        <v>86</v>
      </c>
    </row>
    <row r="6" spans="1:10" ht="24">
      <c r="A6" s="78"/>
      <c r="B6" s="14" t="s">
        <v>161</v>
      </c>
      <c r="C6" s="14"/>
      <c r="D6" s="14"/>
      <c r="E6" s="52"/>
      <c r="F6" s="18"/>
      <c r="G6" s="47"/>
      <c r="H6" s="47" t="s">
        <v>20</v>
      </c>
      <c r="I6" s="89">
        <v>0</v>
      </c>
      <c r="J6" s="86" t="s">
        <v>86</v>
      </c>
    </row>
    <row r="7" spans="1:10" ht="24">
      <c r="A7" s="78"/>
      <c r="B7" s="50" t="s">
        <v>127</v>
      </c>
      <c r="C7" s="46"/>
      <c r="D7" s="46"/>
      <c r="E7" s="47"/>
      <c r="F7" s="48"/>
      <c r="G7" s="47"/>
      <c r="H7" s="47"/>
      <c r="I7" s="51">
        <f>ROUND(SUM(I5:I6),2)</f>
        <v>669.8</v>
      </c>
      <c r="J7" s="86" t="s">
        <v>145</v>
      </c>
    </row>
    <row r="8" spans="1:10" ht="24.75" thickBot="1">
      <c r="A8" s="78"/>
      <c r="B8" s="1"/>
      <c r="C8" s="1"/>
      <c r="D8" s="1"/>
      <c r="E8" s="1"/>
      <c r="F8" s="46" t="s">
        <v>125</v>
      </c>
      <c r="G8" s="1"/>
      <c r="H8" s="1"/>
      <c r="I8" s="109">
        <f>ROUNDDOWN(I7,0)</f>
        <v>669</v>
      </c>
      <c r="J8" s="86" t="s">
        <v>145</v>
      </c>
    </row>
    <row r="9" ht="15" thickTop="1"/>
    <row r="16" ht="14.25">
      <c r="J16" s="111"/>
    </row>
  </sheetData>
  <sheetProtection/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30" zoomScaleSheetLayoutView="130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7.28125" style="0" customWidth="1"/>
  </cols>
  <sheetData>
    <row r="1" spans="1:8" ht="24">
      <c r="A1" s="7" t="s">
        <v>22</v>
      </c>
      <c r="B1" s="7"/>
      <c r="C1" s="7" t="s">
        <v>0</v>
      </c>
      <c r="D1" s="7" t="s">
        <v>23</v>
      </c>
      <c r="E1" s="7" t="s">
        <v>1</v>
      </c>
      <c r="F1" s="112" t="s">
        <v>67</v>
      </c>
      <c r="G1" s="7" t="s">
        <v>132</v>
      </c>
      <c r="H1" s="7" t="s">
        <v>13</v>
      </c>
    </row>
    <row r="2" spans="1:8" ht="24">
      <c r="A2" s="113">
        <v>1</v>
      </c>
      <c r="B2" s="37" t="s">
        <v>154</v>
      </c>
      <c r="C2" s="15"/>
      <c r="D2" s="114"/>
      <c r="E2" s="135"/>
      <c r="F2" s="115"/>
      <c r="G2" s="116"/>
      <c r="H2" s="135" t="s">
        <v>133</v>
      </c>
    </row>
    <row r="3" spans="1:8" ht="24">
      <c r="A3" s="116"/>
      <c r="B3" s="15" t="s">
        <v>135</v>
      </c>
      <c r="C3" s="15"/>
      <c r="D3" s="118">
        <v>1</v>
      </c>
      <c r="E3" s="135" t="s">
        <v>121</v>
      </c>
      <c r="F3" s="119">
        <f>ค่าวัสดุและดำเนินการ!K23</f>
        <v>696.26</v>
      </c>
      <c r="G3" s="120">
        <f>D3*F3</f>
        <v>696.26</v>
      </c>
      <c r="H3" s="135"/>
    </row>
    <row r="4" spans="1:8" ht="24">
      <c r="A4" s="116"/>
      <c r="B4" s="15" t="s">
        <v>136</v>
      </c>
      <c r="C4" s="15"/>
      <c r="D4" s="118">
        <v>0.3</v>
      </c>
      <c r="E4" s="135" t="s">
        <v>121</v>
      </c>
      <c r="F4" s="119">
        <f>ค่าวัสดุและดำเนินการ!K24</f>
        <v>582.24</v>
      </c>
      <c r="G4" s="120">
        <f>D4*F4</f>
        <v>174.672</v>
      </c>
      <c r="H4" s="117"/>
    </row>
    <row r="5" spans="1:8" ht="24">
      <c r="A5" s="116"/>
      <c r="B5" s="15" t="s">
        <v>140</v>
      </c>
      <c r="C5" s="15"/>
      <c r="D5" s="118">
        <v>0.3</v>
      </c>
      <c r="E5" s="135" t="s">
        <v>141</v>
      </c>
      <c r="F5" s="119">
        <f>ค่าวัสดุและดำเนินการ!K25</f>
        <v>0</v>
      </c>
      <c r="G5" s="120">
        <f>D5*F5</f>
        <v>0</v>
      </c>
      <c r="H5" s="117"/>
    </row>
    <row r="6" spans="1:8" ht="24">
      <c r="A6" s="116"/>
      <c r="B6" s="15" t="s">
        <v>137</v>
      </c>
      <c r="C6" s="15"/>
      <c r="D6" s="118">
        <f>D3*25%</f>
        <v>0.25</v>
      </c>
      <c r="E6" s="135" t="s">
        <v>81</v>
      </c>
      <c r="F6" s="119">
        <f>ค่าวัสดุและดำเนินการ!K26</f>
        <v>37.38</v>
      </c>
      <c r="G6" s="120">
        <f>D6*F6</f>
        <v>9.345</v>
      </c>
      <c r="H6" s="117"/>
    </row>
    <row r="7" spans="1:8" ht="24">
      <c r="A7" s="116"/>
      <c r="B7" s="15" t="s">
        <v>142</v>
      </c>
      <c r="C7" s="15"/>
      <c r="D7" s="118">
        <v>1</v>
      </c>
      <c r="E7" s="135" t="s">
        <v>21</v>
      </c>
      <c r="F7" s="119">
        <v>0</v>
      </c>
      <c r="G7" s="120">
        <f>D7*F7</f>
        <v>0</v>
      </c>
      <c r="H7" s="117"/>
    </row>
    <row r="8" spans="1:8" ht="24">
      <c r="A8" s="116"/>
      <c r="B8" s="15"/>
      <c r="C8" s="121" t="s">
        <v>12</v>
      </c>
      <c r="D8" s="118"/>
      <c r="E8" s="135"/>
      <c r="F8" s="122" t="s">
        <v>87</v>
      </c>
      <c r="G8" s="49">
        <f>ROUND(SUM(G3:G7),2)</f>
        <v>880.28</v>
      </c>
      <c r="H8" s="117"/>
    </row>
    <row r="9" spans="1:8" ht="24">
      <c r="A9" s="116"/>
      <c r="B9" s="15"/>
      <c r="C9" s="121" t="s">
        <v>155</v>
      </c>
      <c r="D9" s="125">
        <v>1</v>
      </c>
      <c r="E9" s="135" t="s">
        <v>21</v>
      </c>
      <c r="F9" s="134" t="s">
        <v>87</v>
      </c>
      <c r="G9" s="132">
        <f>ROUND(G8/4,2)</f>
        <v>220.07</v>
      </c>
      <c r="H9" s="131"/>
    </row>
    <row r="10" spans="1:8" ht="24">
      <c r="A10" s="116"/>
      <c r="B10" s="15" t="s">
        <v>134</v>
      </c>
      <c r="C10" s="15"/>
      <c r="D10" s="118">
        <v>1</v>
      </c>
      <c r="E10" s="135" t="s">
        <v>21</v>
      </c>
      <c r="F10" s="122" t="s">
        <v>87</v>
      </c>
      <c r="G10" s="126">
        <v>133</v>
      </c>
      <c r="H10" s="117"/>
    </row>
    <row r="11" spans="1:8" ht="24.75" thickBot="1">
      <c r="A11" s="7"/>
      <c r="B11" s="7"/>
      <c r="C11" s="123" t="s">
        <v>144</v>
      </c>
      <c r="D11" s="114">
        <v>1</v>
      </c>
      <c r="E11" s="135" t="s">
        <v>21</v>
      </c>
      <c r="F11" s="122" t="s">
        <v>87</v>
      </c>
      <c r="G11" s="124">
        <f>ROUNDDOWN(G9+G10,0)</f>
        <v>353</v>
      </c>
      <c r="H11" s="117" t="s">
        <v>138</v>
      </c>
    </row>
    <row r="12" ht="15" thickTop="1"/>
    <row r="14" spans="1:8" ht="24">
      <c r="A14" s="7" t="s">
        <v>22</v>
      </c>
      <c r="B14" s="7"/>
      <c r="C14" s="7" t="s">
        <v>0</v>
      </c>
      <c r="D14" s="7" t="s">
        <v>23</v>
      </c>
      <c r="E14" s="7" t="s">
        <v>1</v>
      </c>
      <c r="F14" s="112" t="s">
        <v>67</v>
      </c>
      <c r="G14" s="7" t="s">
        <v>132</v>
      </c>
      <c r="H14" s="7" t="s">
        <v>13</v>
      </c>
    </row>
    <row r="15" spans="1:8" ht="24">
      <c r="A15" s="113">
        <v>2</v>
      </c>
      <c r="B15" s="37" t="s">
        <v>139</v>
      </c>
      <c r="C15" s="15"/>
      <c r="D15" s="114"/>
      <c r="E15" s="82"/>
      <c r="F15" s="115"/>
      <c r="G15" s="116"/>
      <c r="H15" s="82" t="s">
        <v>133</v>
      </c>
    </row>
    <row r="16" spans="1:8" ht="24">
      <c r="A16" s="116"/>
      <c r="B16" s="15" t="s">
        <v>135</v>
      </c>
      <c r="C16" s="15"/>
      <c r="D16" s="118">
        <v>1</v>
      </c>
      <c r="E16" s="82" t="s">
        <v>121</v>
      </c>
      <c r="F16" s="119">
        <f>ค่าวัสดุและดำเนินการ!K23</f>
        <v>696.26</v>
      </c>
      <c r="G16" s="120">
        <f>D16*F16</f>
        <v>696.26</v>
      </c>
      <c r="H16" s="82"/>
    </row>
    <row r="17" spans="1:8" ht="24">
      <c r="A17" s="116"/>
      <c r="B17" s="15" t="s">
        <v>136</v>
      </c>
      <c r="C17" s="15"/>
      <c r="D17" s="118">
        <v>0.3</v>
      </c>
      <c r="E17" s="82" t="s">
        <v>121</v>
      </c>
      <c r="F17" s="119">
        <f>ค่าวัสดุและดำเนินการ!K24</f>
        <v>582.24</v>
      </c>
      <c r="G17" s="120">
        <f>D17*F17</f>
        <v>174.672</v>
      </c>
      <c r="H17" s="117"/>
    </row>
    <row r="18" spans="1:8" ht="24">
      <c r="A18" s="116"/>
      <c r="B18" s="15" t="s">
        <v>140</v>
      </c>
      <c r="C18" s="15"/>
      <c r="D18" s="118">
        <v>0.3</v>
      </c>
      <c r="E18" s="82" t="s">
        <v>141</v>
      </c>
      <c r="F18" s="119">
        <f>ค่าวัสดุและดำเนินการ!K25</f>
        <v>0</v>
      </c>
      <c r="G18" s="120">
        <f>D18*F18</f>
        <v>0</v>
      </c>
      <c r="H18" s="117"/>
    </row>
    <row r="19" spans="1:8" ht="24">
      <c r="A19" s="116"/>
      <c r="B19" s="15" t="s">
        <v>137</v>
      </c>
      <c r="C19" s="15"/>
      <c r="D19" s="118">
        <f>D16*25%</f>
        <v>0.25</v>
      </c>
      <c r="E19" s="82" t="s">
        <v>81</v>
      </c>
      <c r="F19" s="119">
        <f>ค่าวัสดุและดำเนินการ!K26</f>
        <v>37.38</v>
      </c>
      <c r="G19" s="120">
        <f>D19*F19</f>
        <v>9.345</v>
      </c>
      <c r="H19" s="117"/>
    </row>
    <row r="20" spans="1:8" ht="24">
      <c r="A20" s="116"/>
      <c r="B20" s="15" t="s">
        <v>142</v>
      </c>
      <c r="C20" s="15"/>
      <c r="D20" s="118">
        <v>1</v>
      </c>
      <c r="E20" s="82" t="s">
        <v>21</v>
      </c>
      <c r="F20" s="119">
        <v>0</v>
      </c>
      <c r="G20" s="120">
        <f>D20*F20</f>
        <v>0</v>
      </c>
      <c r="H20" s="117"/>
    </row>
    <row r="21" spans="1:8" ht="24">
      <c r="A21" s="116"/>
      <c r="B21" s="15"/>
      <c r="C21" s="121" t="s">
        <v>12</v>
      </c>
      <c r="D21" s="118"/>
      <c r="E21" s="82"/>
      <c r="F21" s="122" t="s">
        <v>87</v>
      </c>
      <c r="G21" s="49">
        <f>ROUND(SUM(G16:G20),2)</f>
        <v>880.28</v>
      </c>
      <c r="H21" s="117"/>
    </row>
    <row r="22" spans="1:8" ht="24">
      <c r="A22" s="116"/>
      <c r="B22" s="15"/>
      <c r="C22" s="121" t="s">
        <v>143</v>
      </c>
      <c r="D22" s="125">
        <v>1</v>
      </c>
      <c r="E22" s="129" t="s">
        <v>21</v>
      </c>
      <c r="F22" s="130" t="s">
        <v>87</v>
      </c>
      <c r="G22" s="132">
        <f>ROUND(G21/5,2)</f>
        <v>176.06</v>
      </c>
      <c r="H22" s="131"/>
    </row>
    <row r="23" spans="1:8" ht="24">
      <c r="A23" s="116"/>
      <c r="B23" s="15" t="s">
        <v>134</v>
      </c>
      <c r="C23" s="15"/>
      <c r="D23" s="118">
        <v>1</v>
      </c>
      <c r="E23" s="82" t="s">
        <v>21</v>
      </c>
      <c r="F23" s="122" t="s">
        <v>87</v>
      </c>
      <c r="G23" s="126">
        <v>133</v>
      </c>
      <c r="H23" s="117"/>
    </row>
    <row r="24" spans="1:8" ht="24.75" thickBot="1">
      <c r="A24" s="7"/>
      <c r="B24" s="7"/>
      <c r="C24" s="123" t="s">
        <v>144</v>
      </c>
      <c r="D24" s="114">
        <v>1</v>
      </c>
      <c r="E24" s="82" t="s">
        <v>21</v>
      </c>
      <c r="F24" s="122" t="s">
        <v>87</v>
      </c>
      <c r="G24" s="124">
        <f>ROUNDDOWN(G22+G23,0)</f>
        <v>309</v>
      </c>
      <c r="H24" s="117" t="s">
        <v>138</v>
      </c>
    </row>
    <row r="25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110" zoomScaleSheetLayoutView="110" zoomScalePageLayoutView="0" workbookViewId="0" topLeftCell="A10">
      <selection activeCell="H20" sqref="H20:I20"/>
    </sheetView>
  </sheetViews>
  <sheetFormatPr defaultColWidth="9.140625" defaultRowHeight="15"/>
  <cols>
    <col min="1" max="1" width="2.8515625" style="56" customWidth="1"/>
    <col min="2" max="2" width="30.28125" style="56" customWidth="1"/>
    <col min="3" max="3" width="7.140625" style="56" customWidth="1"/>
    <col min="4" max="4" width="2.57421875" style="56" customWidth="1"/>
    <col min="5" max="5" width="6.421875" style="56" customWidth="1"/>
    <col min="6" max="6" width="5.140625" style="56" customWidth="1"/>
    <col min="7" max="7" width="9.00390625" style="56" customWidth="1"/>
    <col min="8" max="8" width="5.140625" style="56" customWidth="1"/>
    <col min="9" max="9" width="4.7109375" style="56" customWidth="1"/>
    <col min="10" max="10" width="4.28125" style="56" customWidth="1"/>
    <col min="11" max="11" width="3.28125" style="56" customWidth="1"/>
    <col min="12" max="12" width="11.28125" style="56" customWidth="1"/>
    <col min="13" max="16384" width="9.00390625" style="56" customWidth="1"/>
  </cols>
  <sheetData>
    <row r="1" spans="1:13" ht="24">
      <c r="A1" s="53"/>
      <c r="B1" s="54" t="s">
        <v>147</v>
      </c>
      <c r="C1" s="53"/>
      <c r="D1" s="53"/>
      <c r="E1" s="53"/>
      <c r="F1" s="53"/>
      <c r="G1" s="53"/>
      <c r="H1" s="55"/>
      <c r="I1" s="54"/>
      <c r="J1" s="53"/>
      <c r="K1" s="53"/>
      <c r="L1" s="53"/>
      <c r="M1" s="53"/>
    </row>
    <row r="2" spans="1:13" ht="24">
      <c r="A2" s="53"/>
      <c r="B2" s="53" t="s">
        <v>194</v>
      </c>
      <c r="C2" s="133">
        <v>10</v>
      </c>
      <c r="D2" s="53" t="s">
        <v>33</v>
      </c>
      <c r="E2" s="53"/>
      <c r="F2" s="53"/>
      <c r="G2" s="53"/>
      <c r="H2" s="55"/>
      <c r="I2" s="54"/>
      <c r="J2" s="53"/>
      <c r="K2" s="53"/>
      <c r="L2" s="53"/>
      <c r="M2" s="53"/>
    </row>
    <row r="3" spans="1:13" ht="24">
      <c r="A3" s="53"/>
      <c r="B3" s="185" t="s">
        <v>111</v>
      </c>
      <c r="C3" s="53"/>
      <c r="D3" s="58" t="s">
        <v>87</v>
      </c>
      <c r="E3" s="235">
        <v>2.4</v>
      </c>
      <c r="F3" s="235"/>
      <c r="G3" s="57" t="s">
        <v>148</v>
      </c>
      <c r="H3" s="236">
        <f>ROUNDDOWN(ค่าวัสดุและดำเนินการ!K11,2)</f>
        <v>2200</v>
      </c>
      <c r="I3" s="236"/>
      <c r="J3" s="53" t="s">
        <v>19</v>
      </c>
      <c r="K3" s="58" t="s">
        <v>75</v>
      </c>
      <c r="L3" s="79">
        <f aca="true" t="shared" si="0" ref="L3:L12">ROUND(E3*H3,2)</f>
        <v>5280</v>
      </c>
      <c r="M3" s="58" t="s">
        <v>19</v>
      </c>
    </row>
    <row r="4" spans="1:13" ht="24">
      <c r="A4" s="53"/>
      <c r="B4" s="53" t="s">
        <v>191</v>
      </c>
      <c r="C4" s="53"/>
      <c r="D4" s="183" t="s">
        <v>87</v>
      </c>
      <c r="E4" s="239">
        <v>0</v>
      </c>
      <c r="F4" s="239"/>
      <c r="G4" s="57" t="s">
        <v>149</v>
      </c>
      <c r="H4" s="238">
        <f>ROUNDDOWN(ค่าวัสดุและดำเนินการ!K12/1000,2)</f>
        <v>25.57</v>
      </c>
      <c r="I4" s="238"/>
      <c r="J4" s="53" t="s">
        <v>19</v>
      </c>
      <c r="K4" s="183" t="s">
        <v>75</v>
      </c>
      <c r="L4" s="79">
        <f>ROUND(E4*H4,2)</f>
        <v>0</v>
      </c>
      <c r="M4" s="183" t="s">
        <v>19</v>
      </c>
    </row>
    <row r="5" spans="1:13" ht="24">
      <c r="A5" s="53"/>
      <c r="B5" s="53" t="s">
        <v>150</v>
      </c>
      <c r="C5" s="53"/>
      <c r="D5" s="58" t="s">
        <v>87</v>
      </c>
      <c r="E5" s="235">
        <v>351</v>
      </c>
      <c r="F5" s="235"/>
      <c r="G5" s="57" t="s">
        <v>149</v>
      </c>
      <c r="H5" s="236">
        <f>ROUNDDOWN(ค่าวัสดุและดำเนินการ!K13/1000,2)</f>
        <v>25.45</v>
      </c>
      <c r="I5" s="236"/>
      <c r="J5" s="53" t="s">
        <v>19</v>
      </c>
      <c r="K5" s="58" t="s">
        <v>75</v>
      </c>
      <c r="L5" s="79">
        <f t="shared" si="0"/>
        <v>8932.95</v>
      </c>
      <c r="M5" s="58" t="s">
        <v>19</v>
      </c>
    </row>
    <row r="6" spans="1:13" ht="24">
      <c r="A6" s="53"/>
      <c r="B6" s="53" t="s">
        <v>151</v>
      </c>
      <c r="C6" s="53"/>
      <c r="D6" s="58" t="s">
        <v>87</v>
      </c>
      <c r="E6" s="236">
        <f>ROUNDDOWN((E5/1000)*25,2)</f>
        <v>8.77</v>
      </c>
      <c r="F6" s="236"/>
      <c r="G6" s="57" t="s">
        <v>149</v>
      </c>
      <c r="H6" s="236">
        <f>ROUNDDOWN(ค่าวัสดุและดำเนินการ!K16,2)</f>
        <v>67.29</v>
      </c>
      <c r="I6" s="236"/>
      <c r="J6" s="53" t="s">
        <v>19</v>
      </c>
      <c r="K6" s="58" t="s">
        <v>75</v>
      </c>
      <c r="L6" s="79">
        <f t="shared" si="0"/>
        <v>590.13</v>
      </c>
      <c r="M6" s="58" t="s">
        <v>19</v>
      </c>
    </row>
    <row r="7" spans="1:13" ht="24">
      <c r="A7" s="53"/>
      <c r="B7" s="53" t="s">
        <v>152</v>
      </c>
      <c r="C7" s="53"/>
      <c r="D7" s="58" t="s">
        <v>87</v>
      </c>
      <c r="E7" s="235">
        <v>43</v>
      </c>
      <c r="F7" s="235"/>
      <c r="G7" s="57" t="s">
        <v>153</v>
      </c>
      <c r="H7" s="238">
        <f>ROUNDDOWN(แบบหล่อคอนกรีต!G11,2)</f>
        <v>353</v>
      </c>
      <c r="I7" s="238"/>
      <c r="J7" s="53" t="s">
        <v>19</v>
      </c>
      <c r="K7" s="58" t="s">
        <v>75</v>
      </c>
      <c r="L7" s="79">
        <f t="shared" si="0"/>
        <v>15179</v>
      </c>
      <c r="M7" s="58" t="s">
        <v>19</v>
      </c>
    </row>
    <row r="8" spans="1:13" ht="24">
      <c r="A8" s="53"/>
      <c r="B8" s="53" t="s">
        <v>190</v>
      </c>
      <c r="C8" s="53"/>
      <c r="D8" s="58" t="s">
        <v>87</v>
      </c>
      <c r="E8" s="235">
        <v>7.8</v>
      </c>
      <c r="F8" s="235"/>
      <c r="G8" s="57" t="s">
        <v>156</v>
      </c>
      <c r="H8" s="235">
        <v>20.9</v>
      </c>
      <c r="I8" s="235"/>
      <c r="J8" s="53" t="s">
        <v>19</v>
      </c>
      <c r="K8" s="58" t="s">
        <v>75</v>
      </c>
      <c r="L8" s="79">
        <f t="shared" si="0"/>
        <v>163.02</v>
      </c>
      <c r="M8" s="58" t="s">
        <v>19</v>
      </c>
    </row>
    <row r="9" spans="1:13" ht="24">
      <c r="A9" s="53"/>
      <c r="B9" s="53" t="s">
        <v>207</v>
      </c>
      <c r="C9" s="53"/>
      <c r="D9" s="58" t="s">
        <v>87</v>
      </c>
      <c r="E9" s="235">
        <v>20</v>
      </c>
      <c r="F9" s="235"/>
      <c r="G9" s="57" t="s">
        <v>157</v>
      </c>
      <c r="H9" s="238">
        <f>ROUNDDOWN(ค่าวัสดุและดำเนินการ!K27/6,2)</f>
        <v>110</v>
      </c>
      <c r="I9" s="238"/>
      <c r="J9" s="53" t="s">
        <v>19</v>
      </c>
      <c r="K9" s="58" t="s">
        <v>75</v>
      </c>
      <c r="L9" s="79">
        <f t="shared" si="0"/>
        <v>2200</v>
      </c>
      <c r="M9" s="58" t="s">
        <v>19</v>
      </c>
    </row>
    <row r="10" spans="1:13" ht="24">
      <c r="A10" s="53"/>
      <c r="B10" s="53" t="s">
        <v>222</v>
      </c>
      <c r="C10" s="53"/>
      <c r="D10" s="184" t="s">
        <v>87</v>
      </c>
      <c r="E10" s="235">
        <v>2</v>
      </c>
      <c r="F10" s="235"/>
      <c r="G10" s="57" t="s">
        <v>198</v>
      </c>
      <c r="H10" s="236">
        <f>สีกันสนิม!I6</f>
        <v>62</v>
      </c>
      <c r="I10" s="236"/>
      <c r="J10" s="53" t="s">
        <v>19</v>
      </c>
      <c r="K10" s="184" t="s">
        <v>75</v>
      </c>
      <c r="L10" s="79">
        <f>ROUND(E10*H10,2)</f>
        <v>124</v>
      </c>
      <c r="M10" s="184" t="s">
        <v>19</v>
      </c>
    </row>
    <row r="11" spans="1:13" ht="24">
      <c r="A11" s="53"/>
      <c r="B11" s="53" t="s">
        <v>79</v>
      </c>
      <c r="C11" s="53"/>
      <c r="D11" s="58" t="s">
        <v>87</v>
      </c>
      <c r="E11" s="235">
        <v>0.3</v>
      </c>
      <c r="F11" s="235"/>
      <c r="G11" s="57" t="s">
        <v>156</v>
      </c>
      <c r="H11" s="238">
        <f>ROUNDDOWN(คอนกรีต!J10,2)</f>
        <v>2044.66</v>
      </c>
      <c r="I11" s="238"/>
      <c r="J11" s="53" t="s">
        <v>19</v>
      </c>
      <c r="K11" s="58" t="s">
        <v>75</v>
      </c>
      <c r="L11" s="79">
        <f t="shared" si="0"/>
        <v>613.4</v>
      </c>
      <c r="M11" s="58" t="s">
        <v>19</v>
      </c>
    </row>
    <row r="12" spans="1:13" ht="24">
      <c r="A12" s="53"/>
      <c r="B12" s="53" t="s">
        <v>158</v>
      </c>
      <c r="C12" s="53"/>
      <c r="D12" s="58" t="s">
        <v>87</v>
      </c>
      <c r="E12" s="235">
        <v>0.6</v>
      </c>
      <c r="F12" s="235"/>
      <c r="G12" s="57" t="s">
        <v>156</v>
      </c>
      <c r="H12" s="238">
        <f>ROUNDDOWN(ทรายหยาบรองใต้ผิวคอนกรีต!I8,2)</f>
        <v>669</v>
      </c>
      <c r="I12" s="238"/>
      <c r="J12" s="53" t="s">
        <v>19</v>
      </c>
      <c r="K12" s="58" t="s">
        <v>75</v>
      </c>
      <c r="L12" s="79">
        <f t="shared" si="0"/>
        <v>401.4</v>
      </c>
      <c r="M12" s="58" t="s">
        <v>19</v>
      </c>
    </row>
    <row r="13" spans="1:13" ht="24">
      <c r="A13" s="53"/>
      <c r="B13" s="53" t="s">
        <v>76</v>
      </c>
      <c r="C13" s="53"/>
      <c r="D13" s="53"/>
      <c r="E13" s="64"/>
      <c r="F13" s="53"/>
      <c r="G13" s="53"/>
      <c r="H13" s="53"/>
      <c r="I13" s="53"/>
      <c r="J13" s="53"/>
      <c r="K13" s="58" t="s">
        <v>75</v>
      </c>
      <c r="L13" s="80">
        <f>ROUND((SUM(L3:L12)),2)</f>
        <v>33483.9</v>
      </c>
      <c r="M13" s="58" t="s">
        <v>19</v>
      </c>
    </row>
    <row r="14" spans="1:13" ht="24">
      <c r="A14" s="53"/>
      <c r="B14" s="59" t="s">
        <v>77</v>
      </c>
      <c r="C14" s="53"/>
      <c r="D14" s="58" t="s">
        <v>87</v>
      </c>
      <c r="E14" s="236">
        <f>L13</f>
        <v>33483.9</v>
      </c>
      <c r="F14" s="236"/>
      <c r="G14" s="58" t="s">
        <v>78</v>
      </c>
      <c r="H14" s="237">
        <f>C2</f>
        <v>10</v>
      </c>
      <c r="I14" s="237"/>
      <c r="J14" s="60"/>
      <c r="K14" s="58" t="s">
        <v>75</v>
      </c>
      <c r="L14" s="127">
        <f>ROUND(E14/H14,2)</f>
        <v>3348.39</v>
      </c>
      <c r="M14" s="58" t="s">
        <v>80</v>
      </c>
    </row>
    <row r="15" spans="1:13" ht="24.75" thickBot="1">
      <c r="A15" s="53"/>
      <c r="K15" s="58" t="s">
        <v>75</v>
      </c>
      <c r="L15" s="81">
        <f>ROUNDDOWN(L14,0)</f>
        <v>3348</v>
      </c>
      <c r="M15" s="58" t="s">
        <v>80</v>
      </c>
    </row>
    <row r="16" spans="1:13" ht="24.75" thickTop="1">
      <c r="A16" s="53"/>
      <c r="K16" s="58"/>
      <c r="L16" s="128"/>
      <c r="M16" s="58"/>
    </row>
    <row r="17" spans="1:13" ht="24">
      <c r="A17" s="53"/>
      <c r="B17" s="53" t="s">
        <v>195</v>
      </c>
      <c r="C17" s="133">
        <v>1</v>
      </c>
      <c r="D17" s="53" t="s">
        <v>159</v>
      </c>
      <c r="E17" s="53"/>
      <c r="F17" s="53"/>
      <c r="G17" s="53"/>
      <c r="H17" s="55"/>
      <c r="I17" s="54"/>
      <c r="J17" s="53"/>
      <c r="K17" s="53"/>
      <c r="L17" s="53"/>
      <c r="M17" s="53"/>
    </row>
    <row r="18" spans="1:13" ht="24">
      <c r="A18" s="53"/>
      <c r="B18" s="185" t="s">
        <v>201</v>
      </c>
      <c r="C18" s="53"/>
      <c r="D18" s="58" t="s">
        <v>87</v>
      </c>
      <c r="E18" s="235">
        <v>20.66</v>
      </c>
      <c r="F18" s="235"/>
      <c r="G18" s="57" t="s">
        <v>149</v>
      </c>
      <c r="H18" s="236">
        <f>ROUNDDOWN(ค่าวัสดุและดำเนินการ!K29/14.16,2)</f>
        <v>30.36</v>
      </c>
      <c r="I18" s="236"/>
      <c r="J18" s="53" t="s">
        <v>19</v>
      </c>
      <c r="K18" s="58" t="s">
        <v>75</v>
      </c>
      <c r="L18" s="79">
        <f>ROUND(E18*H18,2)</f>
        <v>627.24</v>
      </c>
      <c r="M18" s="58" t="s">
        <v>19</v>
      </c>
    </row>
    <row r="19" spans="1:13" ht="24">
      <c r="A19" s="53"/>
      <c r="B19" s="185" t="s">
        <v>197</v>
      </c>
      <c r="C19" s="53"/>
      <c r="D19" s="184" t="s">
        <v>87</v>
      </c>
      <c r="E19" s="235">
        <v>51</v>
      </c>
      <c r="F19" s="235"/>
      <c r="G19" s="57" t="s">
        <v>200</v>
      </c>
      <c r="H19" s="235">
        <v>4</v>
      </c>
      <c r="I19" s="235"/>
      <c r="J19" s="53" t="s">
        <v>19</v>
      </c>
      <c r="K19" s="184" t="s">
        <v>75</v>
      </c>
      <c r="L19" s="79">
        <f>ROUND(E19*H19,2)</f>
        <v>204</v>
      </c>
      <c r="M19" s="184" t="s">
        <v>19</v>
      </c>
    </row>
    <row r="20" spans="1:13" ht="24">
      <c r="A20" s="53"/>
      <c r="B20" s="53" t="s">
        <v>222</v>
      </c>
      <c r="C20" s="53"/>
      <c r="D20" s="58" t="s">
        <v>87</v>
      </c>
      <c r="E20" s="235">
        <v>0.75</v>
      </c>
      <c r="F20" s="235"/>
      <c r="G20" s="57" t="s">
        <v>198</v>
      </c>
      <c r="H20" s="236">
        <f>สีกันสนิม!I6</f>
        <v>62</v>
      </c>
      <c r="I20" s="236"/>
      <c r="J20" s="53" t="s">
        <v>19</v>
      </c>
      <c r="K20" s="58" t="s">
        <v>75</v>
      </c>
      <c r="L20" s="79">
        <f>ROUND(E20*H20,2)</f>
        <v>46.5</v>
      </c>
      <c r="M20" s="58" t="s">
        <v>19</v>
      </c>
    </row>
    <row r="21" spans="1:13" ht="24">
      <c r="A21" s="53"/>
      <c r="B21" s="53" t="s">
        <v>76</v>
      </c>
      <c r="C21" s="53"/>
      <c r="D21" s="53"/>
      <c r="E21" s="64"/>
      <c r="F21" s="53"/>
      <c r="G21" s="53"/>
      <c r="H21" s="53"/>
      <c r="I21" s="53"/>
      <c r="J21" s="53"/>
      <c r="K21" s="58" t="s">
        <v>75</v>
      </c>
      <c r="L21" s="80">
        <f>ROUND((SUM(L18:L20)),2)</f>
        <v>877.74</v>
      </c>
      <c r="M21" s="58" t="s">
        <v>19</v>
      </c>
    </row>
    <row r="22" spans="1:13" ht="24">
      <c r="A22" s="53"/>
      <c r="B22" s="59" t="s">
        <v>77</v>
      </c>
      <c r="C22" s="53"/>
      <c r="D22" s="58" t="s">
        <v>87</v>
      </c>
      <c r="E22" s="236">
        <f>L21</f>
        <v>877.74</v>
      </c>
      <c r="F22" s="236"/>
      <c r="G22" s="58" t="s">
        <v>78</v>
      </c>
      <c r="H22" s="237">
        <f>C17</f>
        <v>1</v>
      </c>
      <c r="I22" s="237"/>
      <c r="J22" s="60"/>
      <c r="K22" s="58" t="s">
        <v>75</v>
      </c>
      <c r="L22" s="127">
        <f>ROUND(E22/H22,2)</f>
        <v>877.74</v>
      </c>
      <c r="M22" s="58" t="s">
        <v>160</v>
      </c>
    </row>
    <row r="23" spans="11:13" ht="24.75" thickBot="1">
      <c r="K23" s="58" t="s">
        <v>75</v>
      </c>
      <c r="L23" s="81">
        <f>ROUNDDOWN(L22,0)</f>
        <v>877</v>
      </c>
      <c r="M23" s="58" t="s">
        <v>160</v>
      </c>
    </row>
    <row r="24" ht="18" thickTop="1"/>
  </sheetData>
  <sheetProtection/>
  <mergeCells count="30">
    <mergeCell ref="E3:F3"/>
    <mergeCell ref="H3:I3"/>
    <mergeCell ref="E5:F5"/>
    <mergeCell ref="H5:I5"/>
    <mergeCell ref="E6:F6"/>
    <mergeCell ref="H6:I6"/>
    <mergeCell ref="E4:F4"/>
    <mergeCell ref="H4:I4"/>
    <mergeCell ref="E7:F7"/>
    <mergeCell ref="H7:I7"/>
    <mergeCell ref="E8:F8"/>
    <mergeCell ref="H8:I8"/>
    <mergeCell ref="E9:F9"/>
    <mergeCell ref="H9:I9"/>
    <mergeCell ref="E10:F10"/>
    <mergeCell ref="H10:I10"/>
    <mergeCell ref="E22:F22"/>
    <mergeCell ref="H22:I22"/>
    <mergeCell ref="E12:F12"/>
    <mergeCell ref="H12:I12"/>
    <mergeCell ref="E20:F20"/>
    <mergeCell ref="H20:I20"/>
    <mergeCell ref="E19:F19"/>
    <mergeCell ref="H19:I19"/>
    <mergeCell ref="E11:F11"/>
    <mergeCell ref="H11:I11"/>
    <mergeCell ref="E14:F14"/>
    <mergeCell ref="H14:I14"/>
    <mergeCell ref="E18:F18"/>
    <mergeCell ref="H18:I18"/>
  </mergeCells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scale="88" r:id="rId3"/>
  <colBreaks count="1" manualBreakCount="1">
    <brk id="13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0" zoomScaleSheetLayoutView="110" zoomScalePageLayoutView="0" workbookViewId="0" topLeftCell="A1">
      <selection activeCell="M6" sqref="M6"/>
    </sheetView>
  </sheetViews>
  <sheetFormatPr defaultColWidth="9.140625" defaultRowHeight="15"/>
  <cols>
    <col min="1" max="1" width="4.57421875" style="0" customWidth="1"/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  <col min="11" max="11" width="18.421875" style="0" customWidth="1"/>
  </cols>
  <sheetData>
    <row r="1" spans="1:10" ht="24">
      <c r="A1" s="194">
        <v>1</v>
      </c>
      <c r="B1" s="45" t="s">
        <v>215</v>
      </c>
      <c r="C1" s="83"/>
      <c r="D1" s="84"/>
      <c r="E1" s="47"/>
      <c r="F1" s="83"/>
      <c r="G1" s="47"/>
      <c r="H1" s="47"/>
      <c r="I1" s="85"/>
      <c r="J1" s="86"/>
    </row>
    <row r="2" spans="1:10" ht="24">
      <c r="A2" s="192"/>
      <c r="B2" s="14" t="s">
        <v>218</v>
      </c>
      <c r="C2" s="14"/>
      <c r="D2" s="14"/>
      <c r="E2" s="52"/>
      <c r="F2" s="195">
        <v>490</v>
      </c>
      <c r="G2" s="47" t="s">
        <v>220</v>
      </c>
      <c r="H2" s="47" t="s">
        <v>20</v>
      </c>
      <c r="I2" s="193">
        <f>F2*0.076</f>
        <v>37.24</v>
      </c>
      <c r="J2" s="86" t="s">
        <v>221</v>
      </c>
    </row>
    <row r="3" spans="1:10" ht="24">
      <c r="A3" s="192"/>
      <c r="B3" s="14" t="s">
        <v>217</v>
      </c>
      <c r="C3" s="14"/>
      <c r="D3" s="14"/>
      <c r="E3" s="52"/>
      <c r="F3" s="195">
        <v>570.1</v>
      </c>
      <c r="G3" s="47" t="s">
        <v>220</v>
      </c>
      <c r="H3" s="47"/>
      <c r="I3" s="193">
        <f>F3*0.038</f>
        <v>21.663800000000002</v>
      </c>
      <c r="J3" s="86" t="s">
        <v>221</v>
      </c>
    </row>
    <row r="4" spans="1:10" ht="24">
      <c r="A4" s="192"/>
      <c r="B4" s="14" t="s">
        <v>219</v>
      </c>
      <c r="C4" s="14"/>
      <c r="D4" s="14"/>
      <c r="E4" s="52"/>
      <c r="F4" s="195">
        <v>136</v>
      </c>
      <c r="G4" s="47" t="s">
        <v>220</v>
      </c>
      <c r="H4" s="47"/>
      <c r="I4" s="193">
        <f>F4*0.023</f>
        <v>3.128</v>
      </c>
      <c r="J4" s="86" t="s">
        <v>221</v>
      </c>
    </row>
    <row r="5" spans="1:10" ht="24">
      <c r="A5" s="192"/>
      <c r="B5" s="14" t="s">
        <v>216</v>
      </c>
      <c r="C5" s="46"/>
      <c r="D5" s="46"/>
      <c r="E5" s="47"/>
      <c r="F5" s="48"/>
      <c r="G5" s="47"/>
      <c r="H5" s="47"/>
      <c r="I5" s="51">
        <f>ROUND(SUM(I2:I4),2)</f>
        <v>62.03</v>
      </c>
      <c r="J5" s="86" t="s">
        <v>221</v>
      </c>
    </row>
    <row r="6" spans="1:10" ht="24.75" thickBot="1">
      <c r="A6" s="192"/>
      <c r="B6" s="1"/>
      <c r="C6" s="1"/>
      <c r="D6" s="1"/>
      <c r="E6" s="1"/>
      <c r="F6" s="46" t="s">
        <v>125</v>
      </c>
      <c r="G6" s="1"/>
      <c r="H6" s="1"/>
      <c r="I6" s="109">
        <f>ROUNDDOWN(I5,0)</f>
        <v>62</v>
      </c>
      <c r="J6" s="86" t="s">
        <v>221</v>
      </c>
    </row>
    <row r="7" ht="15" thickTop="1"/>
    <row r="14" ht="14.25">
      <c r="J14" s="111"/>
    </row>
  </sheetData>
  <sheetProtection/>
  <printOptions horizontalCentered="1"/>
  <pageMargins left="0.5905511811023623" right="0.196850393700787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2018-12-15T03:44:28Z</cp:lastPrinted>
  <dcterms:created xsi:type="dcterms:W3CDTF">2017-05-01T02:16:56Z</dcterms:created>
  <dcterms:modified xsi:type="dcterms:W3CDTF">2019-01-06T12:47:18Z</dcterms:modified>
  <cp:category/>
  <cp:version/>
  <cp:contentType/>
  <cp:contentStatus/>
</cp:coreProperties>
</file>