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drawings/drawing3.xml" ContentType="application/vnd.openxmlformats-officedocument.drawing+xml"/>
  <Override PartName="/xl/comments5.xml" ContentType="application/vnd.openxmlformats-officedocument.spreadsheetml.comments+xml"/>
  <Override PartName="/xl/drawings/drawing4.xml" ContentType="application/vnd.openxmlformats-officedocument.drawing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ปี 2568\ราคากลาง\ราง ม. 6  แก้ไขปัญหาน้ำท่วมขังถนน\"/>
    </mc:Choice>
  </mc:AlternateContent>
  <xr:revisionPtr revIDLastSave="0" documentId="13_ncr:1_{CB37E2B8-C9EE-484C-B3A0-8B984F4E7459}" xr6:coauthVersionLast="47" xr6:coauthVersionMax="47" xr10:uidLastSave="{00000000-0000-0000-0000-000000000000}"/>
  <bookViews>
    <workbookView xWindow="-108" yWindow="-108" windowWidth="23256" windowHeight="12456" tabRatio="696" activeTab="1" xr2:uid="{00000000-000D-0000-FFFF-FFFF00000000}"/>
  </bookViews>
  <sheets>
    <sheet name="1.ค่าวัสดุและดำเนินการ" sheetId="1" r:id="rId1"/>
    <sheet name="แบบสรุปราคากลาง" sheetId="24" r:id="rId2"/>
    <sheet name="2.ราคาต่อหน่วยผิวทาง" sheetId="23" state="hidden" r:id="rId3"/>
    <sheet name="F" sheetId="28" state="hidden" r:id="rId4"/>
    <sheet name="ท่อ" sheetId="15" state="hidden" r:id="rId5"/>
    <sheet name="แบบหล่อคอนกรีต" sheetId="21" r:id="rId6"/>
    <sheet name="คอนกรีต" sheetId="18" r:id="rId7"/>
    <sheet name="บ่อพักน้ำแบบ1" sheetId="22" state="hidden" r:id="rId8"/>
    <sheet name="บ่อพักน้ำ2" sheetId="27" state="hidden" r:id="rId9"/>
    <sheet name="สี" sheetId="26" state="hidden" r:id="rId10"/>
    <sheet name="ราง" sheetId="29" r:id="rId11"/>
    <sheet name="คอนกรีตรับท่อ" sheetId="30" state="hidden" r:id="rId12"/>
    <sheet name="เสนอแบบสรุป" sheetId="25" state="hidden" r:id="rId13"/>
  </sheets>
  <definedNames>
    <definedName name="_xlnm.Print_Area" localSheetId="0">'1.ค่าวัสดุและดำเนินการ'!$A$1:$L$45</definedName>
    <definedName name="_xlnm.Print_Area" localSheetId="2">'2.ราคาต่อหน่วยผิวทาง'!$A$1:$Q$101</definedName>
    <definedName name="_xlnm.Print_Area" localSheetId="6">คอนกรีต!$A$1:$J$35</definedName>
    <definedName name="_xlnm.Print_Area" localSheetId="4">ท่อ!$A$1:$O$55</definedName>
    <definedName name="_xlnm.Print_Area" localSheetId="8">บ่อพักน้ำ2!$A$1:$Q$36</definedName>
    <definedName name="_xlnm.Print_Area" localSheetId="7">บ่อพักน้ำแบบ1!$A$1:$Q$44</definedName>
    <definedName name="_xlnm.Print_Area" localSheetId="1">แบบสรุปราคากลาง!$A$1:$N$55</definedName>
    <definedName name="_xlnm.Print_Area" localSheetId="5">แบบหล่อคอนกรีต!$A$1:$H$37</definedName>
    <definedName name="_xlnm.Print_Area" localSheetId="9">สี!$A$1:$G$47</definedName>
    <definedName name="_xlnm.Print_Area" localSheetId="12">เสนอแบบสรุป!$A$1:$N$53</definedName>
    <definedName name="_xlnm.Print_Titles" localSheetId="1">แบบสรุปราคากลาง!$1:$11</definedName>
    <definedName name="_xlnm.Print_Titles" localSheetId="12">เสนอแบบสรุป!$1:$8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4" i="24" l="1"/>
  <c r="B43" i="24"/>
  <c r="G48" i="24"/>
  <c r="G47" i="24"/>
  <c r="B48" i="24"/>
  <c r="B47" i="24"/>
  <c r="G44" i="24"/>
  <c r="G43" i="24"/>
  <c r="E40" i="24"/>
  <c r="E39" i="24"/>
  <c r="H28" i="24"/>
  <c r="L28" i="24"/>
  <c r="L25" i="24"/>
  <c r="H27" i="24"/>
  <c r="J27" i="24" s="1"/>
  <c r="H26" i="24"/>
  <c r="J26" i="24" s="1"/>
  <c r="H24" i="24"/>
  <c r="J24" i="24" s="1"/>
  <c r="N24" i="24" s="1"/>
  <c r="H23" i="24"/>
  <c r="J23" i="24" s="1"/>
  <c r="H21" i="24"/>
  <c r="J21" i="24" s="1"/>
  <c r="H20" i="24"/>
  <c r="J20" i="24" s="1"/>
  <c r="H19" i="24"/>
  <c r="J19" i="24" s="1"/>
  <c r="L27" i="24"/>
  <c r="L22" i="24"/>
  <c r="L26" i="24"/>
  <c r="L24" i="24"/>
  <c r="L23" i="24"/>
  <c r="L21" i="24"/>
  <c r="L20" i="24"/>
  <c r="L19" i="24"/>
  <c r="G39" i="29"/>
  <c r="G34" i="29"/>
  <c r="G31" i="29"/>
  <c r="O31" i="29" s="1"/>
  <c r="G41" i="29"/>
  <c r="O39" i="29"/>
  <c r="O36" i="29"/>
  <c r="D34" i="29"/>
  <c r="O34" i="29" s="1"/>
  <c r="I7" i="24"/>
  <c r="N8" i="24"/>
  <c r="G3" i="29"/>
  <c r="G6" i="29"/>
  <c r="G25" i="29"/>
  <c r="O25" i="29" s="1"/>
  <c r="G20" i="29"/>
  <c r="G17" i="29"/>
  <c r="O17" i="29" s="1"/>
  <c r="G27" i="29"/>
  <c r="O22" i="29"/>
  <c r="D20" i="29"/>
  <c r="L15" i="24"/>
  <c r="L14" i="24"/>
  <c r="L16" i="24"/>
  <c r="L13" i="24"/>
  <c r="E19" i="27"/>
  <c r="H19" i="27"/>
  <c r="H17" i="27"/>
  <c r="H23" i="27"/>
  <c r="H12" i="27"/>
  <c r="H11" i="27"/>
  <c r="P23" i="27"/>
  <c r="E22" i="27"/>
  <c r="P22" i="27" s="1"/>
  <c r="P19" i="27"/>
  <c r="P17" i="27"/>
  <c r="G45" i="29"/>
  <c r="D6" i="29"/>
  <c r="N35" i="15"/>
  <c r="N33" i="15"/>
  <c r="G33" i="15"/>
  <c r="I43" i="15"/>
  <c r="L41" i="15"/>
  <c r="F43" i="15" s="1"/>
  <c r="L43" i="15" s="1"/>
  <c r="N32" i="15" s="1"/>
  <c r="N30" i="15"/>
  <c r="J18" i="24"/>
  <c r="L18" i="24"/>
  <c r="M18" i="24" s="1"/>
  <c r="I15" i="15"/>
  <c r="N7" i="15"/>
  <c r="H17" i="18"/>
  <c r="N19" i="24" l="1"/>
  <c r="N20" i="24"/>
  <c r="N23" i="24"/>
  <c r="M26" i="24"/>
  <c r="N21" i="24"/>
  <c r="M23" i="24"/>
  <c r="M28" i="24"/>
  <c r="M24" i="24"/>
  <c r="J28" i="24"/>
  <c r="N28" i="24" s="1"/>
  <c r="N27" i="24"/>
  <c r="M21" i="24"/>
  <c r="M27" i="24"/>
  <c r="M19" i="24"/>
  <c r="M20" i="24"/>
  <c r="N26" i="24"/>
  <c r="O20" i="29"/>
  <c r="N18" i="24"/>
  <c r="G53" i="29" l="1"/>
  <c r="G13" i="29"/>
  <c r="O8" i="29"/>
  <c r="D48" i="29"/>
  <c r="A6" i="25" l="1"/>
  <c r="D9" i="28"/>
  <c r="T94" i="23"/>
  <c r="T72" i="23"/>
  <c r="T73" i="23" s="1"/>
  <c r="U60" i="23"/>
  <c r="U59" i="23"/>
  <c r="T59" i="23"/>
  <c r="T60" i="23" s="1"/>
  <c r="P9" i="24"/>
  <c r="H64" i="23" l="1"/>
  <c r="K25" i="1" l="1"/>
  <c r="I87" i="23"/>
  <c r="H27" i="1"/>
  <c r="H26" i="1"/>
  <c r="C6" i="24" l="1"/>
  <c r="C5" i="24"/>
  <c r="C4" i="24"/>
  <c r="C3" i="24"/>
  <c r="C2" i="24"/>
  <c r="K34" i="1"/>
  <c r="I74" i="23" s="1"/>
  <c r="K33" i="1"/>
  <c r="K32" i="1"/>
  <c r="K31" i="1"/>
  <c r="K30" i="1"/>
  <c r="K29" i="1"/>
  <c r="K28" i="1"/>
  <c r="K27" i="1"/>
  <c r="K26" i="1"/>
  <c r="K24" i="1"/>
  <c r="K23" i="1"/>
  <c r="K22" i="1"/>
  <c r="K21" i="1"/>
  <c r="K20" i="1"/>
  <c r="K19" i="1"/>
  <c r="K18" i="1"/>
  <c r="K17" i="1"/>
  <c r="H25" i="24" s="1"/>
  <c r="K16" i="1"/>
  <c r="K15" i="1"/>
  <c r="K14" i="1"/>
  <c r="K13" i="1"/>
  <c r="K12" i="1"/>
  <c r="H3" i="27" s="1"/>
  <c r="M25" i="24" l="1"/>
  <c r="J25" i="24"/>
  <c r="N25" i="24" s="1"/>
  <c r="G37" i="29"/>
  <c r="O37" i="29" s="1"/>
  <c r="G23" i="29"/>
  <c r="O23" i="29" s="1"/>
  <c r="H21" i="27"/>
  <c r="P21" i="27" s="1"/>
  <c r="G51" i="29"/>
  <c r="O51" i="29" s="1"/>
  <c r="H18" i="27"/>
  <c r="P18" i="27" s="1"/>
  <c r="G5" i="29"/>
  <c r="G19" i="29"/>
  <c r="O19" i="29" s="1"/>
  <c r="G33" i="29"/>
  <c r="O33" i="29" s="1"/>
  <c r="G32" i="29"/>
  <c r="O32" i="29" s="1"/>
  <c r="G18" i="29"/>
  <c r="O18" i="29" s="1"/>
  <c r="G4" i="29"/>
  <c r="N31" i="15"/>
  <c r="C31" i="15"/>
  <c r="H7" i="27"/>
  <c r="G50" i="29"/>
  <c r="O50" i="29" s="1"/>
  <c r="G48" i="29"/>
  <c r="O48" i="29" s="1"/>
  <c r="H5" i="27"/>
  <c r="O6" i="29"/>
  <c r="H4" i="27"/>
  <c r="O5" i="29"/>
  <c r="G47" i="29"/>
  <c r="O47" i="29" s="1"/>
  <c r="O4" i="29"/>
  <c r="G46" i="29"/>
  <c r="O46" i="29" s="1"/>
  <c r="G9" i="29"/>
  <c r="O9" i="29" s="1"/>
  <c r="E75" i="23"/>
  <c r="L7" i="24"/>
  <c r="A8" i="24"/>
  <c r="A7" i="24"/>
  <c r="E74" i="23" l="1"/>
  <c r="E5" i="27" l="1"/>
  <c r="E8" i="27"/>
  <c r="P8" i="27" s="1"/>
  <c r="P9" i="27"/>
  <c r="T84" i="23" l="1"/>
  <c r="T85" i="23" s="1"/>
  <c r="E85" i="23" s="1"/>
  <c r="P9" i="22" l="1"/>
  <c r="E8" i="22"/>
  <c r="P8" i="22" s="1"/>
  <c r="E18" i="22"/>
  <c r="H17" i="22"/>
  <c r="F4" i="26"/>
  <c r="F3" i="26"/>
  <c r="F5" i="26" l="1"/>
  <c r="F7" i="26" s="1"/>
  <c r="E73" i="23"/>
  <c r="T95" i="23"/>
  <c r="P4" i="27"/>
  <c r="H12" i="22" l="1"/>
  <c r="P12" i="27"/>
  <c r="H19" i="22"/>
  <c r="P19" i="22" s="1"/>
  <c r="E62" i="23"/>
  <c r="E61" i="23"/>
  <c r="E63" i="23" s="1"/>
  <c r="H62" i="23"/>
  <c r="H4" i="22"/>
  <c r="P62" i="23" l="1"/>
  <c r="A5" i="24" l="1"/>
  <c r="E76" i="23" l="1"/>
  <c r="P55" i="23"/>
  <c r="P53" i="23"/>
  <c r="P57" i="23" s="1"/>
  <c r="E39" i="23"/>
  <c r="P3" i="23"/>
  <c r="H100" i="23" l="1"/>
  <c r="E98" i="23"/>
  <c r="I98" i="23"/>
  <c r="E96" i="23"/>
  <c r="P96" i="23" s="1"/>
  <c r="E89" i="23"/>
  <c r="I89" i="23"/>
  <c r="H91" i="23"/>
  <c r="E79" i="23"/>
  <c r="E78" i="23"/>
  <c r="E77" i="23"/>
  <c r="I78" i="23"/>
  <c r="E86" i="23"/>
  <c r="P86" i="23" s="1"/>
  <c r="E87" i="23"/>
  <c r="P87" i="23" s="1"/>
  <c r="P78" i="23" l="1"/>
  <c r="P98" i="23"/>
  <c r="P89" i="23"/>
  <c r="E95" i="23"/>
  <c r="H81" i="23"/>
  <c r="P77" i="23"/>
  <c r="P38" i="23" l="1"/>
  <c r="P27" i="23"/>
  <c r="P28" i="23" s="1"/>
  <c r="P31" i="23"/>
  <c r="P32" i="23" s="1"/>
  <c r="P17" i="23"/>
  <c r="P18" i="23" s="1"/>
  <c r="P20" i="23" s="1"/>
  <c r="P21" i="23" s="1"/>
  <c r="P39" i="23" l="1"/>
  <c r="P42" i="23" s="1"/>
  <c r="P43" i="23" s="1"/>
  <c r="A4" i="24" l="1"/>
  <c r="G7" i="25" l="1"/>
  <c r="G6" i="25"/>
  <c r="A7" i="25"/>
  <c r="P64" i="23" l="1"/>
  <c r="H58" i="23"/>
  <c r="K54" i="23"/>
  <c r="P54" i="23" s="1"/>
  <c r="P5" i="27"/>
  <c r="H7" i="22" l="1"/>
  <c r="P7" i="22" s="1"/>
  <c r="P7" i="27"/>
  <c r="I85" i="23"/>
  <c r="P85" i="23" s="1"/>
  <c r="I73" i="23"/>
  <c r="P73" i="23" s="1"/>
  <c r="H63" i="23"/>
  <c r="P63" i="23" s="1"/>
  <c r="H5" i="22"/>
  <c r="H69" i="23"/>
  <c r="H67" i="23"/>
  <c r="P67" i="23" s="1"/>
  <c r="H65" i="23"/>
  <c r="P65" i="23" s="1"/>
  <c r="H66" i="23"/>
  <c r="P66" i="23" s="1"/>
  <c r="E58" i="23"/>
  <c r="P58" i="23" s="1"/>
  <c r="E59" i="23" l="1"/>
  <c r="J60" i="23"/>
  <c r="P60" i="23" s="1"/>
  <c r="A5" i="25" l="1"/>
  <c r="A4" i="25"/>
  <c r="A3" i="25"/>
  <c r="A2" i="25"/>
  <c r="P37" i="25" l="1"/>
  <c r="A6" i="24" l="1"/>
  <c r="A3" i="24"/>
  <c r="A2" i="24"/>
  <c r="E5" i="22" l="1"/>
  <c r="F19" i="18"/>
  <c r="G19" i="18"/>
  <c r="J19" i="18"/>
  <c r="I19" i="18"/>
  <c r="O45" i="29" l="1"/>
  <c r="O3" i="29"/>
  <c r="P74" i="23"/>
  <c r="I76" i="23" l="1"/>
  <c r="P76" i="23" s="1"/>
  <c r="I88" i="23"/>
  <c r="P88" i="23" s="1"/>
  <c r="P90" i="23" s="1"/>
  <c r="E91" i="23" s="1"/>
  <c r="I97" i="23"/>
  <c r="P97" i="23" s="1"/>
  <c r="I75" i="23"/>
  <c r="P75" i="23" s="1"/>
  <c r="P92" i="23" l="1"/>
  <c r="P91" i="23"/>
  <c r="G7" i="21"/>
  <c r="D6" i="21"/>
  <c r="H61" i="23"/>
  <c r="P61" i="23" s="1"/>
  <c r="P18" i="22" l="1"/>
  <c r="P4" i="22"/>
  <c r="P5" i="22"/>
  <c r="G20" i="21" l="1"/>
  <c r="D19" i="21"/>
  <c r="C3" i="15" l="1"/>
  <c r="E6" i="18"/>
  <c r="J6" i="18" s="1"/>
  <c r="H11" i="22" l="1"/>
  <c r="P11" i="27"/>
  <c r="E56" i="23"/>
  <c r="P56" i="23" s="1"/>
  <c r="H59" i="23" s="1"/>
  <c r="P59" i="23" s="1"/>
  <c r="P68" i="23" s="1"/>
  <c r="E69" i="23" s="1"/>
  <c r="P3" i="27"/>
  <c r="H3" i="22"/>
  <c r="E8" i="18"/>
  <c r="J8" i="18" s="1"/>
  <c r="P12" i="22"/>
  <c r="G5" i="15"/>
  <c r="P6" i="23"/>
  <c r="P8" i="23" s="1"/>
  <c r="I95" i="23"/>
  <c r="P95" i="23" s="1"/>
  <c r="P99" i="23" s="1"/>
  <c r="E100" i="23" s="1"/>
  <c r="N3" i="15"/>
  <c r="H19" i="18"/>
  <c r="F16" i="21"/>
  <c r="G16" i="21" s="1"/>
  <c r="F3" i="21"/>
  <c r="G3" i="21" s="1"/>
  <c r="F18" i="21"/>
  <c r="G18" i="21" s="1"/>
  <c r="F5" i="21"/>
  <c r="G5" i="21" s="1"/>
  <c r="F17" i="21"/>
  <c r="G17" i="21" s="1"/>
  <c r="F4" i="21"/>
  <c r="G4" i="21" s="1"/>
  <c r="F19" i="21"/>
  <c r="G19" i="21" s="1"/>
  <c r="F6" i="21"/>
  <c r="G6" i="21" s="1"/>
  <c r="E7" i="18"/>
  <c r="J7" i="18" s="1"/>
  <c r="P69" i="23" l="1"/>
  <c r="P70" i="23" s="1"/>
  <c r="E9" i="23"/>
  <c r="P100" i="23"/>
  <c r="P101" i="23"/>
  <c r="J10" i="18"/>
  <c r="G21" i="21"/>
  <c r="G22" i="21" s="1"/>
  <c r="G24" i="21" s="1"/>
  <c r="H22" i="24" s="1"/>
  <c r="G8" i="21"/>
  <c r="G9" i="21" s="1"/>
  <c r="F6" i="18"/>
  <c r="G6" i="18"/>
  <c r="H6" i="18"/>
  <c r="I6" i="18"/>
  <c r="F7" i="18"/>
  <c r="G7" i="18"/>
  <c r="H7" i="18"/>
  <c r="I7" i="18"/>
  <c r="F8" i="18"/>
  <c r="G8" i="18"/>
  <c r="H8" i="18"/>
  <c r="I8" i="18"/>
  <c r="J22" i="24" l="1"/>
  <c r="N22" i="24" s="1"/>
  <c r="M22" i="24"/>
  <c r="I79" i="23"/>
  <c r="P79" i="23" s="1"/>
  <c r="P80" i="23" s="1"/>
  <c r="E81" i="23" s="1"/>
  <c r="P81" i="23" s="1"/>
  <c r="H20" i="27"/>
  <c r="P20" i="27" s="1"/>
  <c r="P24" i="27" s="1"/>
  <c r="P25" i="27" s="1"/>
  <c r="G49" i="29"/>
  <c r="O49" i="29" s="1"/>
  <c r="O52" i="29" s="1"/>
  <c r="D53" i="29" s="1"/>
  <c r="O53" i="29" s="1"/>
  <c r="O54" i="29" s="1"/>
  <c r="H16" i="24" s="1"/>
  <c r="G10" i="29"/>
  <c r="O10" i="29" s="1"/>
  <c r="G38" i="29"/>
  <c r="O38" i="29" s="1"/>
  <c r="G34" i="15"/>
  <c r="N34" i="15" s="1"/>
  <c r="N36" i="15" s="1"/>
  <c r="N37" i="15" s="1"/>
  <c r="G24" i="29"/>
  <c r="O24" i="29" s="1"/>
  <c r="H10" i="27"/>
  <c r="P10" i="27" s="1"/>
  <c r="G6" i="15"/>
  <c r="N6" i="15" s="1"/>
  <c r="P9" i="23"/>
  <c r="P11" i="23" s="1"/>
  <c r="P12" i="23" s="1"/>
  <c r="G11" i="29" s="1"/>
  <c r="O11" i="29" s="1"/>
  <c r="H10" i="22"/>
  <c r="P10" i="22" s="1"/>
  <c r="P11" i="22"/>
  <c r="P17" i="22"/>
  <c r="P20" i="22" s="1"/>
  <c r="P21" i="22" s="1"/>
  <c r="G11" i="21"/>
  <c r="P3" i="22"/>
  <c r="P82" i="23" l="1"/>
  <c r="G21" i="29"/>
  <c r="O21" i="29" s="1"/>
  <c r="G35" i="29"/>
  <c r="O35" i="29" s="1"/>
  <c r="H6" i="27"/>
  <c r="P6" i="27" s="1"/>
  <c r="P13" i="27" s="1"/>
  <c r="P14" i="27" s="1"/>
  <c r="P26" i="27" s="1"/>
  <c r="G7" i="29"/>
  <c r="O7" i="29" s="1"/>
  <c r="O40" i="29"/>
  <c r="D41" i="29" s="1"/>
  <c r="O41" i="29" s="1"/>
  <c r="O42" i="29" s="1"/>
  <c r="H15" i="24" s="1"/>
  <c r="J16" i="24"/>
  <c r="N16" i="24" s="1"/>
  <c r="M16" i="24"/>
  <c r="O26" i="29"/>
  <c r="D27" i="29" s="1"/>
  <c r="O27" i="29" s="1"/>
  <c r="O28" i="29" s="1"/>
  <c r="H14" i="24" s="1"/>
  <c r="O12" i="29"/>
  <c r="D13" i="29" s="1"/>
  <c r="O13" i="29" s="1"/>
  <c r="O14" i="29" s="1"/>
  <c r="H13" i="24" s="1"/>
  <c r="N5" i="15"/>
  <c r="H6" i="22"/>
  <c r="P6" i="22" s="1"/>
  <c r="P13" i="22" s="1"/>
  <c r="P14" i="22" s="1"/>
  <c r="P23" i="22" s="1"/>
  <c r="L13" i="15"/>
  <c r="F15" i="15" s="1"/>
  <c r="M15" i="24" l="1"/>
  <c r="J15" i="24"/>
  <c r="J14" i="24"/>
  <c r="N14" i="24" s="1"/>
  <c r="M14" i="24"/>
  <c r="M13" i="24"/>
  <c r="J13" i="24"/>
  <c r="J32" i="24" s="1"/>
  <c r="P32" i="24" s="1"/>
  <c r="L15" i="15"/>
  <c r="N4" i="15" s="1"/>
  <c r="N2" i="15"/>
  <c r="N15" i="24" l="1"/>
  <c r="N13" i="24"/>
  <c r="N8" i="15"/>
  <c r="N9" i="15" s="1"/>
  <c r="N30" i="24" l="1"/>
  <c r="N31" i="24" s="1"/>
  <c r="P34" i="24"/>
  <c r="P30" i="2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P'G</author>
  </authors>
  <commentList>
    <comment ref="F21" authorId="0" shapeId="0" xr:uid="{9CEAC820-4070-47D1-A968-880D020D7F2F}">
      <text>
        <r>
          <rPr>
            <b/>
            <sz val="9"/>
            <color indexed="81"/>
            <rFont val="Tahoma"/>
            <family val="2"/>
          </rPr>
          <t>P'G:</t>
        </r>
        <r>
          <rPr>
            <sz val="9"/>
            <color indexed="81"/>
            <rFont val="Tahoma"/>
            <family val="2"/>
          </rPr>
          <t xml:space="preserve">
เฉลี่ย 1"กับ3/8"</t>
        </r>
      </text>
    </comment>
    <comment ref="H2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P'G:</t>
        </r>
        <r>
          <rPr>
            <sz val="9"/>
            <color indexed="81"/>
            <rFont val="Tahoma"/>
            <family val="2"/>
          </rPr>
          <t xml:space="preserve">
=ค่าขนส่ง ลบ.ม./35.3147</t>
        </r>
      </text>
    </comment>
    <comment ref="H27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P'G:</t>
        </r>
        <r>
          <rPr>
            <sz val="9"/>
            <color indexed="81"/>
            <rFont val="Tahoma"/>
            <family val="2"/>
          </rPr>
          <t xml:space="preserve">
=123.67/35.3147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pg-pc</author>
  </authors>
  <commentList>
    <comment ref="H18" authorId="0" shapeId="0" xr:uid="{871FE6F8-A474-4D60-9EB8-A906BB817FB3}">
      <text>
        <r>
          <rPr>
            <b/>
            <sz val="9"/>
            <color indexed="81"/>
            <rFont val="Tahoma"/>
            <family val="2"/>
          </rPr>
          <t>pg-pc:</t>
        </r>
        <r>
          <rPr>
            <sz val="9"/>
            <color indexed="81"/>
            <rFont val="Tahoma"/>
            <family val="2"/>
          </rPr>
          <t xml:space="preserve">
ค่าดำเนินการ ค่าเสื่อมราคา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P'G</author>
    <author>pg-pc</author>
    <author>PK_computer</author>
    <author>ASUS</author>
  </authors>
  <commentList>
    <comment ref="P24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P'G:</t>
        </r>
        <r>
          <rPr>
            <sz val="9"/>
            <color indexed="81"/>
            <rFont val="Tahoma"/>
            <family val="2"/>
          </rPr>
          <t xml:space="preserve">
ไม่มี(มาจากงานดินตัด)
</t>
        </r>
      </text>
    </comment>
    <comment ref="P25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P'G:</t>
        </r>
        <r>
          <rPr>
            <sz val="9"/>
            <color indexed="81"/>
            <rFont val="Tahoma"/>
            <family val="2"/>
          </rPr>
          <t xml:space="preserve">
ไม่มี(มาจากงานดินตัด)
</t>
        </r>
      </text>
    </comment>
    <comment ref="E26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P'G:</t>
        </r>
        <r>
          <rPr>
            <sz val="9"/>
            <color indexed="81"/>
            <rFont val="Tahoma"/>
            <family val="2"/>
          </rPr>
          <t xml:space="preserve">
ไม่มี(มาจากงานดินตัด)
</t>
        </r>
      </text>
    </comment>
    <comment ref="P26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P'G:</t>
        </r>
        <r>
          <rPr>
            <sz val="9"/>
            <color indexed="81"/>
            <rFont val="Tahoma"/>
            <family val="2"/>
          </rPr>
          <t xml:space="preserve">
ไม่มี(มาจากงานดินตัด)
</t>
        </r>
      </text>
    </comment>
    <comment ref="E37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P'G:</t>
        </r>
        <r>
          <rPr>
            <sz val="9"/>
            <color indexed="81"/>
            <rFont val="Tahoma"/>
            <family val="2"/>
          </rPr>
          <t xml:space="preserve">
ไม่มี(มาจากงานดินตัด)
</t>
        </r>
      </text>
    </comment>
    <comment ref="E55" authorId="1" shapeId="0" xr:uid="{00000000-0006-0000-0200-000006000000}">
      <text>
        <r>
          <rPr>
            <b/>
            <sz val="9"/>
            <color indexed="81"/>
            <rFont val="Tahoma"/>
            <family val="2"/>
          </rPr>
          <t>pg-pc:</t>
        </r>
        <r>
          <rPr>
            <sz val="9"/>
            <color indexed="81"/>
            <rFont val="Tahoma"/>
            <family val="2"/>
          </rPr>
          <t xml:space="preserve">
ค่าดำเนินการ ค่าเสื่อมราคา
</t>
        </r>
      </text>
    </comment>
    <comment ref="H55" authorId="2" shapeId="0" xr:uid="{00000000-0006-0000-0200-000007000000}">
      <text>
        <r>
          <rPr>
            <b/>
            <sz val="9"/>
            <color indexed="81"/>
            <rFont val="Tahoma"/>
            <family val="2"/>
          </rPr>
          <t>PK_computer:</t>
        </r>
        <r>
          <rPr>
            <sz val="9"/>
            <color indexed="81"/>
            <rFont val="Tahoma"/>
            <family val="2"/>
          </rPr>
          <t xml:space="preserve">
น้อยกว่า 5,000 ลบ.ม.
ใช้ 5,000 ลบ.ม</t>
        </r>
      </text>
    </comment>
    <comment ref="G60" authorId="1" shapeId="0" xr:uid="{00000000-0006-0000-0200-000008000000}">
      <text>
        <r>
          <rPr>
            <b/>
            <sz val="9"/>
            <color indexed="81"/>
            <rFont val="Tahoma"/>
            <family val="2"/>
          </rPr>
          <t>pg-pc:</t>
        </r>
        <r>
          <rPr>
            <sz val="9"/>
            <color indexed="81"/>
            <rFont val="Tahoma"/>
            <family val="2"/>
          </rPr>
          <t xml:space="preserve">
ค่าดำเนินการ ค่าเสื่อมราคา
</t>
        </r>
      </text>
    </comment>
    <comment ref="E64" authorId="3" shapeId="0" xr:uid="{8BA4C7AA-8F2D-444D-ACD5-5DD89C9EB280}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ตารางค่าดำเนินการและค่าเสื่อมราคา</t>
        </r>
      </text>
    </comment>
    <comment ref="E65" authorId="3" shapeId="0" xr:uid="{22CDA5E9-A355-41D7-AF8E-A9C63057FE0C}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ตารางค่าดำเนินการและค่าเสื่อมราคา</t>
        </r>
      </text>
    </comment>
    <comment ref="E66" authorId="3" shapeId="0" xr:uid="{41D7DB47-ACD9-4562-90CC-68C841B2223A}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ตารางค่าดำเนินการและค่าเสื่อมราคา</t>
        </r>
      </text>
    </comment>
    <comment ref="E67" authorId="3" shapeId="0" xr:uid="{EB3CCD18-248F-464C-81DD-AF3C61EC4786}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บัญชีค่าแรง/ดำเนินการ</t>
        </r>
      </text>
    </comment>
    <comment ref="I77" authorId="3" shapeId="0" xr:uid="{99ECB480-F2ED-496B-9A1D-6CA1AA8C38FB}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ตารางค่าดำเนินการและค่าเสื่อมราคา</t>
        </r>
      </text>
    </comment>
    <comment ref="I86" authorId="3" shapeId="0" xr:uid="{2FD5A592-E7A6-4DD8-98F5-236713CDC375}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ตารางค่าดำเนินการและค่าเสื่อมราคา</t>
        </r>
      </text>
    </comment>
    <comment ref="I96" authorId="3" shapeId="0" xr:uid="{838C3488-2DE2-4236-98B8-F7F38C79D351}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ตารางค่าดำเนินการและค่าเสื่อมราคา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pg-pc</author>
  </authors>
  <commentList>
    <comment ref="H9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pg-pc:</t>
        </r>
        <r>
          <rPr>
            <sz val="9"/>
            <color indexed="81"/>
            <rFont val="Tahoma"/>
            <family val="2"/>
          </rPr>
          <t xml:space="preserve">
ค่าดำเนินการ ค่าเสื่อมราคา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pg-pc</author>
  </authors>
  <commentList>
    <comment ref="H9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pg-pc:</t>
        </r>
        <r>
          <rPr>
            <sz val="9"/>
            <color indexed="81"/>
            <rFont val="Tahoma"/>
            <family val="2"/>
          </rPr>
          <t xml:space="preserve">
ค่าดำเนินการ ค่าเสื่อมราคา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pg-pc</author>
  </authors>
  <commentList>
    <comment ref="G8" authorId="0" shapeId="0" xr:uid="{CB4BCB3F-B46D-4031-B582-85F33264DE37}">
      <text>
        <r>
          <rPr>
            <b/>
            <sz val="9"/>
            <color indexed="81"/>
            <rFont val="Tahoma"/>
            <family val="2"/>
          </rPr>
          <t>pg-pc:</t>
        </r>
        <r>
          <rPr>
            <sz val="9"/>
            <color indexed="81"/>
            <rFont val="Tahoma"/>
            <family val="2"/>
          </rPr>
          <t xml:space="preserve">
ค่าดำเนินการ ค่าเสื่อมราคา
</t>
        </r>
      </text>
    </comment>
    <comment ref="G22" authorId="0" shapeId="0" xr:uid="{41FF6CC9-49B1-4695-B30A-A1A2999A043B}">
      <text>
        <r>
          <rPr>
            <b/>
            <sz val="9"/>
            <color indexed="81"/>
            <rFont val="Tahoma"/>
            <family val="2"/>
          </rPr>
          <t>pg-pc:</t>
        </r>
        <r>
          <rPr>
            <sz val="9"/>
            <color indexed="81"/>
            <rFont val="Tahoma"/>
            <family val="2"/>
          </rPr>
          <t xml:space="preserve">
ค่าดำเนินการ ค่าเสื่อมราคา
</t>
        </r>
      </text>
    </comment>
    <comment ref="G36" authorId="0" shapeId="0" xr:uid="{C892108C-7285-44B3-855C-6D5798BD0B94}">
      <text>
        <r>
          <rPr>
            <b/>
            <sz val="9"/>
            <color indexed="81"/>
            <rFont val="Tahoma"/>
            <family val="2"/>
          </rPr>
          <t>pg-pc:</t>
        </r>
        <r>
          <rPr>
            <sz val="9"/>
            <color indexed="81"/>
            <rFont val="Tahoma"/>
            <family val="2"/>
          </rPr>
          <t xml:space="preserve">
ค่าดำเนินการ ค่าเสื่อมราคา
</t>
        </r>
      </text>
    </comment>
  </commentList>
</comments>
</file>

<file path=xl/sharedStrings.xml><?xml version="1.0" encoding="utf-8"?>
<sst xmlns="http://schemas.openxmlformats.org/spreadsheetml/2006/main" count="1358" uniqueCount="410">
  <si>
    <t>รายการ</t>
  </si>
  <si>
    <t>หน่วย</t>
  </si>
  <si>
    <t>(บาท)</t>
  </si>
  <si>
    <t>ระยะ</t>
  </si>
  <si>
    <t>ขนส่ง</t>
  </si>
  <si>
    <t>ค่า</t>
  </si>
  <si>
    <t>วัสดุ</t>
  </si>
  <si>
    <t>(กม.)</t>
  </si>
  <si>
    <t>ขึ้นลง</t>
  </si>
  <si>
    <t>ค่าขน</t>
  </si>
  <si>
    <t>ค่าตัด/</t>
  </si>
  <si>
    <t>ดัดเหล็ก</t>
  </si>
  <si>
    <t>รวม</t>
  </si>
  <si>
    <t>หมายเหตุ</t>
  </si>
  <si>
    <t>แบบสรุปข้อมูลวัสดุและค่าดำเนินการ</t>
  </si>
  <si>
    <t>เงินประกันผลงานหัก        0 %</t>
  </si>
  <si>
    <t>-</t>
  </si>
  <si>
    <t>บาท</t>
  </si>
  <si>
    <t>ลบ.ม.</t>
  </si>
  <si>
    <t>=</t>
  </si>
  <si>
    <t>ตร.ม.</t>
  </si>
  <si>
    <t>ลำดับ</t>
  </si>
  <si>
    <t>จำนวน</t>
  </si>
  <si>
    <t>ราคาทุน</t>
  </si>
  <si>
    <t>FN</t>
  </si>
  <si>
    <t xml:space="preserve">ราคาต่อหน่วย </t>
  </si>
  <si>
    <t>X   FN</t>
  </si>
  <si>
    <t>ผลรวมค่างานต้นทุนงานก่อสร้างทาง</t>
  </si>
  <si>
    <t>ผลรวมค่างานต้นทุนงานก่อสร้างสะพานและท่อเหลียม</t>
  </si>
  <si>
    <t>ค่า  Factor   F   งานก่อสร้างทาง</t>
  </si>
  <si>
    <t>ค่า  Factor   F   งานก่อสร้างสะพานและท่อเหลียม</t>
  </si>
  <si>
    <t>เมตร</t>
  </si>
  <si>
    <t>( นายชัยเดช  อภิวัฒน์สกุล )</t>
  </si>
  <si>
    <t>รองนายก อบต.ป่ากลาง</t>
  </si>
  <si>
    <t>( นายจิรวรรธ  ทรงเจริญกุล )</t>
  </si>
  <si>
    <t>เลขานุการนายก อบต.ป่ากลาง</t>
  </si>
  <si>
    <t>ปลัด อบต.ป่ากลาง</t>
  </si>
  <si>
    <t>( นายสุภาพ  ปัญญา )</t>
  </si>
  <si>
    <t>รองปลัด อบต.ป่ากลาง</t>
  </si>
  <si>
    <t>( นางสุพรรณี  กันทะวงศ์ )</t>
  </si>
  <si>
    <t>หัวหน้าสำนักปลัด</t>
  </si>
  <si>
    <t>( นายมนู  แสนคำแพ )</t>
  </si>
  <si>
    <t>นิติกร</t>
  </si>
  <si>
    <t>( นายอดิเรก  สุขลำใย )</t>
  </si>
  <si>
    <t>นักวิเคราะห์นโยบายและแผนฯ</t>
  </si>
  <si>
    <t>( นายทวีศักดิ์  กิตติยังกุล )</t>
  </si>
  <si>
    <t>เจ้าพนักงานป้องกันฯ</t>
  </si>
  <si>
    <t>( นางสาวอุมาพร  ธนะวัง )</t>
  </si>
  <si>
    <t>นักจัดการงานทั่วไป</t>
  </si>
  <si>
    <t>( สิบเอกประกิต  การุณยรัต )</t>
  </si>
  <si>
    <t>เจ้าพนักงานธุรการ</t>
  </si>
  <si>
    <t>ผู้อำนวยการกองคลัง</t>
  </si>
  <si>
    <t>( นายจตุรภูมิ  อิ่นแก้ว )</t>
  </si>
  <si>
    <t>นักวิชาการจัดเก็บรายได้</t>
  </si>
  <si>
    <t>( นางอังคณา  ชราชิต )</t>
  </si>
  <si>
    <t>ผู้อำนวยการกองช่าง</t>
  </si>
  <si>
    <t>( นายณัฐวัตร  สว่างเมฆฤทธิ์ )</t>
  </si>
  <si>
    <t>ผู้อำนวยกองการศึกษา</t>
  </si>
  <si>
    <t>( นางเกษสุรินทร์  พอใจ )</t>
  </si>
  <si>
    <t>นักพัฒนาชุมชน</t>
  </si>
  <si>
    <t>( นายสุรเดช   พรมมีเดช )</t>
  </si>
  <si>
    <t>นายช่างโยธา</t>
  </si>
  <si>
    <t>ราคา</t>
  </si>
  <si>
    <t>ต่อหน่วย</t>
  </si>
  <si>
    <t>ลงชื่อ...........................................................ประธานกรรมการกำหนดราคากลาง</t>
  </si>
  <si>
    <t xml:space="preserve">ที่ </t>
  </si>
  <si>
    <t>ภาษีมูลค่าเพิ่ม     7  %</t>
  </si>
  <si>
    <t>ค่างาน ลบ.ม. ละ</t>
  </si>
  <si>
    <t>... รวมค่าวัสดุที่หน้างาน</t>
  </si>
  <si>
    <t>... รวมค่างานต้นทุน</t>
  </si>
  <si>
    <t>อื่นๆ</t>
  </si>
  <si>
    <t>ราคาก่อสร้าง</t>
  </si>
  <si>
    <t xml:space="preserve">R.C. Pipe Culvert   Dia. </t>
  </si>
  <si>
    <t>ขุดดิน</t>
  </si>
  <si>
    <t>ลบ.ม. @</t>
  </si>
  <si>
    <t xml:space="preserve">  =</t>
  </si>
  <si>
    <t>บาท/ม.</t>
  </si>
  <si>
    <t>ค่าขนส่ง</t>
  </si>
  <si>
    <t>ค่าวางและกลบกลับ</t>
  </si>
  <si>
    <t>ค่าใช้จ่ายรวม</t>
  </si>
  <si>
    <t>ค่างานต้นทุน</t>
  </si>
  <si>
    <t xml:space="preserve">    ค่าขนส่งท่อคิดจารการขนโดยรถบรรทุก  10  ล้อ  เที่ยวละ  13  ตัน</t>
  </si>
  <si>
    <t xml:space="preserve">    ค่าขนท่อขึ้น - ลง  คิดเที่ยวละ  300  บาท </t>
  </si>
  <si>
    <t xml:space="preserve">    ค่าขนส่ง     </t>
  </si>
  <si>
    <t>กม.=</t>
  </si>
  <si>
    <t>x 13+300</t>
  </si>
  <si>
    <t>บาท/เที่ยว</t>
  </si>
  <si>
    <t xml:space="preserve">    ค่าขนส่งเฉลี่ย                       = </t>
  </si>
  <si>
    <t>/</t>
  </si>
  <si>
    <t>ขนาดท่อ</t>
  </si>
  <si>
    <t>จำนวน/เที่ยว</t>
  </si>
  <si>
    <t>ปริมาณท่อรวมช่องว่างภายใน</t>
  </si>
  <si>
    <t>คอนกรีตหยาบ</t>
  </si>
  <si>
    <t>(ม.)</t>
  </si>
  <si>
    <t>(บาท/ม.)</t>
  </si>
  <si>
    <t>(ลบ.ม.)</t>
  </si>
  <si>
    <t>Ø 0.30</t>
  </si>
  <si>
    <t>Ø 0.40</t>
  </si>
  <si>
    <t>Ø 0.50</t>
  </si>
  <si>
    <t>Ø 0.60</t>
  </si>
  <si>
    <t>Ø 0.80</t>
  </si>
  <si>
    <t>Ø 1.00</t>
  </si>
  <si>
    <t>Ø 1.20</t>
  </si>
  <si>
    <t>Ø 1.50</t>
  </si>
  <si>
    <t>บาท/ตัน</t>
  </si>
  <si>
    <t>บาท/เมตร</t>
  </si>
  <si>
    <t>กก.</t>
  </si>
  <si>
    <t>@</t>
  </si>
  <si>
    <t>Metal Cap + ทาสี + จาระบี</t>
  </si>
  <si>
    <t>ชุด</t>
  </si>
  <si>
    <t xml:space="preserve">Joint  Sealer  </t>
  </si>
  <si>
    <t>ลิตร</t>
  </si>
  <si>
    <t>ค่าหยอดยาง</t>
  </si>
  <si>
    <t>ม.</t>
  </si>
  <si>
    <t>แผ่นพลาสติก</t>
  </si>
  <si>
    <t>ไม้แบบ (2)</t>
  </si>
  <si>
    <t>ค่าตัด Joint และหยอดยาง</t>
  </si>
  <si>
    <t>ทาสี + จาระบี</t>
  </si>
  <si>
    <t>Joint  Sealer</t>
  </si>
  <si>
    <t>เหล็ก RB Ø 15 มม.</t>
  </si>
  <si>
    <t>บาท/ตร.ม.</t>
  </si>
  <si>
    <t>หนา</t>
  </si>
  <si>
    <t>ซม.</t>
  </si>
  <si>
    <t>x</t>
  </si>
  <si>
    <t>บาท/ลบ.ม.</t>
  </si>
  <si>
    <t xml:space="preserve">คิดจากพื้นที่ผิวคอนกรีต  </t>
  </si>
  <si>
    <t>ค่าแบบ</t>
  </si>
  <si>
    <t>ค่าบ่มผิวทางคอนกรีต</t>
  </si>
  <si>
    <t xml:space="preserve">ค่าติดตั้งเครื่องผสม   </t>
  </si>
  <si>
    <t xml:space="preserve"> =</t>
  </si>
  <si>
    <t>ปริมาณคอนกรีต</t>
  </si>
  <si>
    <t>ปริมาณงานทั้งโครงการ</t>
  </si>
  <si>
    <t>/ 100</t>
  </si>
  <si>
    <t>X</t>
  </si>
  <si>
    <t>ค่าขัดหยาบผิวคอนกรีต</t>
  </si>
  <si>
    <t>กรณีทรายและหินมีหน่วยเป็นปริมาตร</t>
  </si>
  <si>
    <t>Class of Concrete</t>
  </si>
  <si>
    <t>ค 4</t>
  </si>
  <si>
    <t>ค 3</t>
  </si>
  <si>
    <t>ค 2</t>
  </si>
  <si>
    <t>ค 1</t>
  </si>
  <si>
    <t>Lean  1:3:5</t>
  </si>
  <si>
    <t>ส่วนผสมคอนกรีต</t>
  </si>
  <si>
    <t>400:524:728</t>
  </si>
  <si>
    <t>350:572:736</t>
  </si>
  <si>
    <t>320:596:764</t>
  </si>
  <si>
    <t>290:620:725</t>
  </si>
  <si>
    <t>240:520:870</t>
  </si>
  <si>
    <t xml:space="preserve">   1. ซีเมนต์</t>
  </si>
  <si>
    <t xml:space="preserve">   2. ทราย</t>
  </si>
  <si>
    <t xml:space="preserve">   3. หิน</t>
  </si>
  <si>
    <t>320/280</t>
  </si>
  <si>
    <t>280/240</t>
  </si>
  <si>
    <t>240/210</t>
  </si>
  <si>
    <t>210/180</t>
  </si>
  <si>
    <t>180/140</t>
  </si>
  <si>
    <t xml:space="preserve">   1. คอนกรีตผสมเสร็จ</t>
  </si>
  <si>
    <t xml:space="preserve">   2. ค่าแรงเท</t>
  </si>
  <si>
    <t xml:space="preserve">ปูนซีเมนต์ปอร์ตแลนด์   </t>
  </si>
  <si>
    <t>ทรายหยาบ</t>
  </si>
  <si>
    <t>หินผสมคอนกรีต</t>
  </si>
  <si>
    <t>ท่อน</t>
  </si>
  <si>
    <t>สืบ</t>
  </si>
  <si>
    <t>ไม้กระบากไม่ไส  1"x6"</t>
  </si>
  <si>
    <t>ลบ.ฟ.</t>
  </si>
  <si>
    <t>ไม้ยางไม่ไส 1 1/2"x3"</t>
  </si>
  <si>
    <t>ตะปูตอกไม้ชนิดผอม  ขนาด 3 นิ้ว</t>
  </si>
  <si>
    <t>กม.  X</t>
  </si>
  <si>
    <t>ค่างานต้นทุนที่ใช้</t>
  </si>
  <si>
    <t>ค่าขนส่งวัสดุไปทิ้ง  ระยะทางขนส่ง</t>
  </si>
  <si>
    <t>กม.</t>
  </si>
  <si>
    <t xml:space="preserve">... รวมค่างานต้นทุน </t>
  </si>
  <si>
    <t>งานดินถมจากงานดินตัด</t>
  </si>
  <si>
    <t>ค่าวัสดุ</t>
  </si>
  <si>
    <t>งานดินถม</t>
  </si>
  <si>
    <t>ค่าวัสดุที่แหล่ง</t>
  </si>
  <si>
    <t>งานดิน</t>
  </si>
  <si>
    <t>1.1 งานขุดป่าถางตอขนาดกลาง</t>
  </si>
  <si>
    <t>1.2 งานดินตัดคันทาง</t>
  </si>
  <si>
    <t>1.3  งานดินถมคันทาง</t>
  </si>
  <si>
    <t>2.1 งานทรายรองใต้ผิวทางคอนกรีต</t>
  </si>
  <si>
    <t>งานวัสดุรองใต้ผิวทางคอนกรีต</t>
  </si>
  <si>
    <t>งานผิวทาง</t>
  </si>
  <si>
    <t>3.1 งานผิวทางปอร์ตแลนด์ซีเมนต์คอนกรีตหนา 0.15 ม.</t>
  </si>
  <si>
    <t>3.2 งานรอยต่อเผื่อขยายตามขวาง</t>
  </si>
  <si>
    <t>3.3 งานรอยต่อเผื่อหดตามขวาง</t>
  </si>
  <si>
    <t>3.4 งานรอยต่อตามยาว</t>
  </si>
  <si>
    <t>งานไหล่ทาง</t>
  </si>
  <si>
    <t>4.1 งานดินถมไหล่ทาง</t>
  </si>
  <si>
    <t>รวมค่าก่อสร้าง</t>
  </si>
  <si>
    <t>งานทรายรองใต้ผิวทางคอนกรีต</t>
  </si>
  <si>
    <t>ค่าวัสดุจากแหล่งรวมค่าตัก</t>
  </si>
  <si>
    <t xml:space="preserve">ค่าขนส่ง   </t>
  </si>
  <si>
    <t>งานดินตัด</t>
  </si>
  <si>
    <t>ราคา/หน่วย</t>
  </si>
  <si>
    <t>ต่อ 1 ตร.ม.</t>
  </si>
  <si>
    <t xml:space="preserve"> - ค่าแรงประกอบแบบ</t>
  </si>
  <si>
    <t xml:space="preserve"> - ไม้กระบากขนาด 1" x 6"- 8" ยาว 2.50 - 6.00 เมตร</t>
  </si>
  <si>
    <t xml:space="preserve"> - ไม้ยางขนาด 1.1/2" x 3" ยาว 2.50 - 6.00 เมตร</t>
  </si>
  <si>
    <t xml:space="preserve"> -  ตะปู</t>
  </si>
  <si>
    <t xml:space="preserve">  *</t>
  </si>
  <si>
    <t xml:space="preserve"> - ไม้ค้ำยันไม้แบบ</t>
  </si>
  <si>
    <t>ต้น</t>
  </si>
  <si>
    <t xml:space="preserve"> -  น้ำมันทาผิวไม้</t>
  </si>
  <si>
    <t>ใช้งานได้ 5 ครั้ง</t>
  </si>
  <si>
    <t>ราคาไม้แบบที่ใช้</t>
  </si>
  <si>
    <t xml:space="preserve">บาท/ลบ.ม. </t>
  </si>
  <si>
    <t>ลบม  @</t>
  </si>
  <si>
    <t>กก.  @</t>
  </si>
  <si>
    <t>เหล็กเสริม RBØ 9 มม.</t>
  </si>
  <si>
    <t>ลวดผูกเหล็ก</t>
  </si>
  <si>
    <t>ไม้แบบ 1</t>
  </si>
  <si>
    <t>ตร.ม.  @</t>
  </si>
  <si>
    <t>ใช้งานได้ 4 ครั้ง</t>
  </si>
  <si>
    <t>ลบ.ม.  @</t>
  </si>
  <si>
    <t>ทรายหยาบอัดแน่น</t>
  </si>
  <si>
    <t>ฝา</t>
  </si>
  <si>
    <t>งานรางระบายน้ำ</t>
  </si>
  <si>
    <t>งานรางระบายน้ำ คสล.</t>
  </si>
  <si>
    <t>งานฝารางระบายน้ำ</t>
  </si>
  <si>
    <t>งานท่อระบายน้ำ คสล.</t>
  </si>
  <si>
    <t>งานท่อระบายน้ำ คสล. Ø 0.30 ม.</t>
  </si>
  <si>
    <t>เมตร  ชั้น -</t>
  </si>
  <si>
    <t>บาท  x</t>
  </si>
  <si>
    <t>รวมยอดยกไป</t>
  </si>
  <si>
    <t>รวมยอดยกมา</t>
  </si>
  <si>
    <t>ราคากลาง</t>
  </si>
  <si>
    <t xml:space="preserve">ค่าดำเนินการและค่าเสื่อมบดอัด  </t>
  </si>
  <si>
    <t>1.  ข้อมูลงานคอนกรีต  Class  ต่างๆ  ตามมาตรฐานกรมทางหลวงชนบท</t>
  </si>
  <si>
    <t>2.  ข้อมูลงานคอนกรีต กรณีใช้คอนกรีตผสมเสร็จ  รูปลูกบาศก์/รูปทรงกระบอก</t>
  </si>
  <si>
    <t xml:space="preserve">   4. ค่าแรงผสม - เท</t>
  </si>
  <si>
    <t>( นายสุรพงษ์   ศิลป์ท้าว)</t>
  </si>
  <si>
    <t xml:space="preserve">  </t>
  </si>
  <si>
    <t>แบบสรุปการเสนอราคางานก่อสร้างทาง สะพาน และท่อเหลี่ยม</t>
  </si>
  <si>
    <t>เสนอราคาเมื่อวันที่ ...........................................</t>
  </si>
  <si>
    <t>ระยะเวลาดำเนินการ ........................... วัน</t>
  </si>
  <si>
    <t>เขตฝนตกปกติ   ราคาน้ำมันโซล่าเฉลี่ยที่อำเภอเมือง ..............................  บาท/ลิตร</t>
  </si>
  <si>
    <t>(................................................)</t>
  </si>
  <si>
    <t>ประทับตราถ้ามี</t>
  </si>
  <si>
    <t>ลงชื่อ........................................................ผู้เสนอราคา</t>
  </si>
  <si>
    <t>เหล็ก RB Ø 19 มม.</t>
  </si>
  <si>
    <t>เหล็ก RB Ø 6 มม.</t>
  </si>
  <si>
    <t xml:space="preserve">ลวดผูกเหล็ก </t>
  </si>
  <si>
    <t>พาณิชย์ ฯ น่าน</t>
  </si>
  <si>
    <t>กก.   @</t>
  </si>
  <si>
    <t>/ 1000</t>
  </si>
  <si>
    <t xml:space="preserve">ค่าปูผิวคอนกรีต  </t>
  </si>
  <si>
    <t>บาท/กก.</t>
  </si>
  <si>
    <t>ค่าเหล็ก Dowel Bar  (RB Ø 19 มม.)</t>
  </si>
  <si>
    <t xml:space="preserve">Joint  Filler  </t>
  </si>
  <si>
    <t xml:space="preserve">    /</t>
  </si>
  <si>
    <t>ปรับราคาเหมาะสม</t>
  </si>
  <si>
    <t>m.</t>
  </si>
  <si>
    <t xml:space="preserve"> =เหล็กเสริม</t>
  </si>
  <si>
    <t>งานขุดป่าถางตอ</t>
  </si>
  <si>
    <t>ค่าดำเนินการและค่าเสื่อมราคา (งานตัด-ขึ้นรูปคันทาง: ดิน-ตัก)</t>
  </si>
  <si>
    <t>ค่าดำเนินการและค่าเสื่อมราคา (งานตัด-ขึ้นรูปคันทาง: ดิน-ขุดตัด)</t>
  </si>
  <si>
    <t>ค่าดำเนินการและค่าเสื่อมราคา(งานคันทาง: ขุด-ขน)</t>
  </si>
  <si>
    <t>ค่าขนส่งวัสดุจากงานดินตัด  ระยะทางขนส่ง</t>
  </si>
  <si>
    <t>ค่าดำเนินการและค่าเสื่อมราคา(งานคันทาง: บดทับ</t>
  </si>
  <si>
    <t xml:space="preserve">ส่วนขยายตัว                   (..1+2) </t>
  </si>
  <si>
    <t>อัตราส่วนการยุบตัวเมื่อบดทับ     (...1+2+3)</t>
  </si>
  <si>
    <t>ค่าตัดแต่งบันได(งานตัดแต่งบันได: งานตัดแต่งบันได)</t>
  </si>
  <si>
    <t>ค่าดำเนินการและค่าเสื่อมราคา(งานคันทาง: บดทับ)</t>
  </si>
  <si>
    <t>หมายเหตุ :</t>
  </si>
  <si>
    <t>(ดินเหนียวมีค่า CBR น้อยกว่า 2)</t>
  </si>
  <si>
    <t>แนวเก่า</t>
  </si>
  <si>
    <t>แนวใหม่</t>
  </si>
  <si>
    <t>ส่วนยุบตัวของทรายถมคันทาง</t>
  </si>
  <si>
    <t xml:space="preserve">ดิน,ดินปนทราย ถมคันทาง </t>
  </si>
  <si>
    <t xml:space="preserve">ดินเหนียวถมคันทาง </t>
  </si>
  <si>
    <t>คิดจากความยาว</t>
  </si>
  <si>
    <t>คิดเหล็กเสริม Dowel Bar</t>
  </si>
  <si>
    <t xml:space="preserve">คิดจากความยาว  </t>
  </si>
  <si>
    <t xml:space="preserve"> </t>
  </si>
  <si>
    <t>เหล็ก DB Ø 12 มม.</t>
  </si>
  <si>
    <t>บาท/</t>
  </si>
  <si>
    <t xml:space="preserve">ค่าเหล็ก Tie Bar  (DB Ø 12 มม.) </t>
  </si>
  <si>
    <t>ค่าดำเนินการ+ค่าเสื่อมราคาเรื่องจักร(งานขุดป่าถางตอ: ขนาดกลาง)</t>
  </si>
  <si>
    <t xml:space="preserve">ส่วนยุบตัว          =                                 </t>
  </si>
  <si>
    <t>+</t>
  </si>
  <si>
    <t>คอนกรีตผสมเสร็จรูปลูกบาศก์ 280 กก./ตร.ซม.</t>
  </si>
  <si>
    <t>บ่อ</t>
  </si>
  <si>
    <t>เหล็ก RB Ø 9 มม.</t>
  </si>
  <si>
    <t xml:space="preserve">ค่าเหล็กเสริม </t>
  </si>
  <si>
    <t>RB Ø 9 มม.</t>
  </si>
  <si>
    <t>RB Ø 6 มม.</t>
  </si>
  <si>
    <t xml:space="preserve">เหล็กฉากขนาด 50x50x4 มม. </t>
  </si>
  <si>
    <t>ค่าเชื่อม</t>
  </si>
  <si>
    <t>เหล็กฉาก 50x50x4 มม.</t>
  </si>
  <si>
    <t>กก. @</t>
  </si>
  <si>
    <t xml:space="preserve">ขุดดินและปรับพื้น </t>
  </si>
  <si>
    <t>GL.</t>
  </si>
  <si>
    <t xml:space="preserve"> - ทาสีรองพื้นกันสนิม จำนวน</t>
  </si>
  <si>
    <t xml:space="preserve"> - น้ำมันสนหรือน้ำมันซักแห้ง จำนวน</t>
  </si>
  <si>
    <r>
      <t xml:space="preserve">งานทาสีเหล็กกันสนิม </t>
    </r>
    <r>
      <rPr>
        <sz val="16"/>
        <rFont val="TH SarabunPSK"/>
        <family val="2"/>
      </rPr>
      <t>(รองพื้นกันสนิม 3 เที่ยว)</t>
    </r>
  </si>
  <si>
    <t xml:space="preserve">รวมวัสดุทาสีเหล็กกันสนิม(รองพื้นกันสนิม 3 เที่ยว) </t>
  </si>
  <si>
    <t>สีกันสนิมเหล็ก (รองพื้นกันสนิม 3 เที่ยว)</t>
  </si>
  <si>
    <t>ค่าแรงทาสี</t>
  </si>
  <si>
    <t>เหล็กแบน 50x6 มม.</t>
  </si>
  <si>
    <t xml:space="preserve">ข.  ฝาปิดตะแกรงเหล็ก </t>
  </si>
  <si>
    <t>แผ่นเหล็ก 50x6 มม.</t>
  </si>
  <si>
    <t>ทรายหยาบรองพื้น</t>
  </si>
  <si>
    <t>ค่างานต้นทุนบ่อพักน้ำ คสล. พร้อมฝาปิดตะแกรงเหล็ก แบบที่ 1</t>
  </si>
  <si>
    <r>
      <t xml:space="preserve">ค่าท่อ  </t>
    </r>
    <r>
      <rPr>
        <sz val="16"/>
        <color indexed="10"/>
        <rFont val="TH SarabunPSK"/>
        <family val="2"/>
      </rPr>
      <t/>
    </r>
  </si>
  <si>
    <t>ก.  บ่อพักน้ำไม่รวมฝาปิด</t>
  </si>
  <si>
    <t>งานบ่อพักน้ำ คสล. แบบที่ 1</t>
  </si>
  <si>
    <t>เหล็กแบน 50x4 มม.</t>
  </si>
  <si>
    <t xml:space="preserve">แบบสรุปราคากลางงานก่อสร้างทาง </t>
  </si>
  <si>
    <t>ตัน</t>
  </si>
  <si>
    <t>ส่วนราชการ  :</t>
  </si>
  <si>
    <t>กองช่าง  องค์การบริหารส่วนตำบลป่ากลาง  อำเภอปัว  จังหวัดน่าน</t>
  </si>
  <si>
    <t xml:space="preserve">โครงการ      : </t>
  </si>
  <si>
    <t xml:space="preserve">แบบก่อสร้าง : </t>
  </si>
  <si>
    <t>ปริมาณงาน   :</t>
  </si>
  <si>
    <t xml:space="preserve">ที่ตั้งโครงการ : </t>
  </si>
  <si>
    <t>กว้าง</t>
  </si>
  <si>
    <t>ยาว</t>
  </si>
  <si>
    <t>พท.</t>
  </si>
  <si>
    <t>พท.ปาก</t>
  </si>
  <si>
    <t>งบ</t>
  </si>
  <si>
    <t>เกิน-ขาด</t>
  </si>
  <si>
    <t>บ/ตรม.</t>
  </si>
  <si>
    <t>พาณิชย์ ฯ พะเยา</t>
  </si>
  <si>
    <t>คิดเหล็กเสริม/แผ่น</t>
  </si>
  <si>
    <t>ขนาด x กว้าง(ต่อแผ่น)</t>
  </si>
  <si>
    <t>ท่อ คสล. ปากลิ้นรางชั้น 3 ขนาด Ø 0.80  ม.</t>
  </si>
  <si>
    <t>2 ข้าง</t>
  </si>
  <si>
    <t>( นายประยูร  ขันไชย )</t>
  </si>
  <si>
    <t>ลงชื่อ................................................................กรรมการกำหนดราคากลาง</t>
  </si>
  <si>
    <t>ลงชื่อ...............................................................กรรมการกำหนดราคากลาง</t>
  </si>
  <si>
    <t>ลงชื่อ....................................................................กรรมการกำหนดราคากลาง</t>
  </si>
  <si>
    <t>เจ้าพนักงานการเงินและบัญชี</t>
  </si>
  <si>
    <t>( นางสาวสำเนา  ทองกลิ่น )</t>
  </si>
  <si>
    <t>F ค่างานตัวต่ำกว่าต้นทุน</t>
  </si>
  <si>
    <t>F ค่างานตัวสูงกว่าต้นทุน</t>
  </si>
  <si>
    <t>ค่างานตัวสูงกว่าต้นทุน</t>
  </si>
  <si>
    <t>ค่างานตัวต่ำกว่าต้นทุน</t>
  </si>
  <si>
    <t>ต้นทุน</t>
  </si>
  <si>
    <r>
      <t>ไม้ขนาดø</t>
    </r>
    <r>
      <rPr>
        <sz val="17.600000000000001"/>
        <rFont val="Angsana New"/>
        <family val="1"/>
      </rPr>
      <t xml:space="preserve"> 4"x4.00  ม.</t>
    </r>
  </si>
  <si>
    <r>
      <t>งานผิวทางปอร์ตแลนด์ซีเมนต์  (Portland  Cement  Concrete  Pavement)</t>
    </r>
    <r>
      <rPr>
        <sz val="16"/>
        <rFont val="Angsana New"/>
        <family val="1"/>
      </rPr>
      <t xml:space="preserve">  (ใช้เหล็กเส้นทั่วไป)</t>
    </r>
  </si>
  <si>
    <r>
      <t xml:space="preserve">Expansion  Joint  </t>
    </r>
    <r>
      <rPr>
        <sz val="16"/>
        <rFont val="Angsana New"/>
        <family val="1"/>
      </rPr>
      <t>(รอยต่อเผื่อขยายตามขวาง)</t>
    </r>
  </si>
  <si>
    <r>
      <t>Contraction  Joint</t>
    </r>
    <r>
      <rPr>
        <b/>
        <sz val="16"/>
        <rFont val="Angsana New"/>
        <family val="1"/>
      </rPr>
      <t xml:space="preserve">  </t>
    </r>
    <r>
      <rPr>
        <sz val="16"/>
        <rFont val="Angsana New"/>
        <family val="1"/>
      </rPr>
      <t>(รอยต่อเผื่อหดตามขวาง)</t>
    </r>
  </si>
  <si>
    <r>
      <t>Longitudinal  Joint</t>
    </r>
    <r>
      <rPr>
        <b/>
        <sz val="16"/>
        <rFont val="Angsana New"/>
        <family val="1"/>
      </rPr>
      <t xml:space="preserve">  </t>
    </r>
    <r>
      <rPr>
        <sz val="16"/>
        <rFont val="Angsana New"/>
        <family val="1"/>
      </rPr>
      <t>(รอยต่อตามยาว)</t>
    </r>
  </si>
  <si>
    <t>อัตราดอกเบี้ยเงินกู้ (MLR)   7 %</t>
  </si>
  <si>
    <t>(นายสุรเดช   พรมมีเดช)</t>
  </si>
  <si>
    <t>นายช่างโยธา  ชำนาญงาน</t>
  </si>
  <si>
    <t xml:space="preserve">              .................................................................ผู้ตรวจสอบ</t>
  </si>
  <si>
    <t xml:space="preserve">          ..................................................................เห็นชอบ</t>
  </si>
  <si>
    <t>..................................................................อนุมัติ</t>
  </si>
  <si>
    <t xml:space="preserve">         ( นางสาวสำเนา  ทองกลิ่น)</t>
  </si>
  <si>
    <t>เงินล่วงหน้าจ่าย   0  %</t>
  </si>
  <si>
    <t xml:space="preserve">      ปลัดองค์การบริหารส่วนตำบล</t>
  </si>
  <si>
    <t>ระยะเวลาดำเนินการ - วัน</t>
  </si>
  <si>
    <t>(นายวราพงษ์  พันธ์ชัย)</t>
  </si>
  <si>
    <t xml:space="preserve">              .........................................................ผู้ประมาณราคา</t>
  </si>
  <si>
    <r>
      <t xml:space="preserve">  ไม้แบบงานอย่างง่ายหรือไม้แบบ(1) </t>
    </r>
    <r>
      <rPr>
        <sz val="16"/>
        <rFont val="Angsana New"/>
        <family val="1"/>
      </rPr>
      <t>ใช้ได้ 4 ครั้ง</t>
    </r>
  </si>
  <si>
    <r>
      <t xml:space="preserve">  ไม้แบบงานอย่างง่ายหรือไม้แบบ(2) </t>
    </r>
    <r>
      <rPr>
        <sz val="16"/>
        <rFont val="Angsana New"/>
        <family val="1"/>
      </rPr>
      <t>ใช้ได้ 5 ครั้ง</t>
    </r>
  </si>
  <si>
    <t xml:space="preserve">งานรางระบายน้ำ คสล. </t>
  </si>
  <si>
    <t>คอนกรีตผสมเสร็จรูปลูกบาศก์ 240 กก./ตร.ซม.</t>
  </si>
  <si>
    <t>เหล็กเสริม RBØ 6 มม.</t>
  </si>
  <si>
    <t xml:space="preserve">ขุดดิน </t>
  </si>
  <si>
    <t>เหล็กฉาก 50x50x4 มม. หนัก 18.36 กก./ท่อน</t>
  </si>
  <si>
    <t>ไม้แบบ 2</t>
  </si>
  <si>
    <t xml:space="preserve">งานบ่อพักน้ำ คสล. </t>
  </si>
  <si>
    <t>งานก่อสร้างรางระบายน้ำ</t>
  </si>
  <si>
    <t xml:space="preserve"> - ฝารางระบายน้ำ ค.ส.ล.</t>
  </si>
  <si>
    <t>แบบอบต.ป่ากลาง เลขที่  - จำนวน  -   แผ่น</t>
  </si>
  <si>
    <t>ท่อ คสล. ปากลิ้นรางชั้น 3 ขนาด Ø 0.60  ม.</t>
  </si>
  <si>
    <t xml:space="preserve">ข.  ฝาปิด ค.ส.ล. </t>
  </si>
  <si>
    <t xml:space="preserve">ค่างานต้นทุนบ่อพักน้ำ พร้อมฝาปิด  คสล. </t>
  </si>
  <si>
    <t xml:space="preserve">       นายกองค์การบริหารส่วนตำบลป่ากลาง</t>
  </si>
  <si>
    <t>ซอยบ้านนายพิภบ  บ้านสวนทราย  หมู่ที่ 6  ตำบลป่ากลาง  อำเภอปัว  จังหวัดน่าน</t>
  </si>
  <si>
    <t xml:space="preserve">        (นายสุจริต  ปั้นกิจวานิชเจริญ)</t>
  </si>
  <si>
    <t>ก่อสร้างรางระบายน้ำคอนกรีตเสริมเหล็กขนาดภายในกว้าง 0.30 เมตร  ลึก 0.30-0.80 เมตร ความยาวรวม 135.00 เมตร พร้อมบ่อซึมจำนวน 1 บ่อ  ตามแบบ อบต.ป่ากลาง</t>
  </si>
  <si>
    <t xml:space="preserve">ก่อสร้างรางระบายน้ำพร้อมบ่อซึมเพื่อแก้ปัญหาน้ำท่วมขังซอยบ้านนายพิภบ บ้านสวนทราย  หมู่ที่ 6 </t>
  </si>
  <si>
    <t xml:space="preserve"> - รางระบายน้ำช่วงที่ 1 ขนาดภายในกว้าง 0.30 เมตร  ลึก 0.30 เมตร </t>
  </si>
  <si>
    <t xml:space="preserve"> - รางระบายน้ำช่วงที่ 2 ขนาดภายในกว้าง 0.30 เมตร  ลึก 0.30-0.80 เมตร </t>
  </si>
  <si>
    <t xml:space="preserve"> - รางระบายน้ำช่วงที่ 3 ขนาดภายในกว้าง 0.30 เมตร  ลึก 0.80-0.30 เมตร </t>
  </si>
  <si>
    <t>เขตฝนตกปกติ   ราคาน้ำมันโซล่าเฉลี่ยที่อำเภอเมือง  32.63  (32.00 - 32.99)   บาท/ลิตร</t>
  </si>
  <si>
    <t xml:space="preserve">รางระบายน้ำช่วงที่ 1 ความยาว  </t>
  </si>
  <si>
    <t xml:space="preserve">รางระบายน้ำช่วงที่ 2 ความยาว  </t>
  </si>
  <si>
    <t xml:space="preserve">รางระบายน้ำช่วงที่ 3 ความยาว  </t>
  </si>
  <si>
    <t xml:space="preserve">ฝารางระบายน้ำ ค.ส.ล. จำนวน  </t>
  </si>
  <si>
    <t>ท่อ PVC. ชั้น 8.5 ขนาดØ 2 นิ้ว</t>
  </si>
  <si>
    <t>ท่อน @</t>
  </si>
  <si>
    <t>ตร.ม. @</t>
  </si>
  <si>
    <t>งานบ่อซึมพร้อมฝาปิด ค.ส.ล.</t>
  </si>
  <si>
    <t xml:space="preserve"> - ค่าดินขุด</t>
  </si>
  <si>
    <t xml:space="preserve"> - กรวดขนาดใหญ่</t>
  </si>
  <si>
    <t xml:space="preserve"> - กรวดคละขนาด 1-2 นิ้ว</t>
  </si>
  <si>
    <t xml:space="preserve"> - คอนกรีตผสมเสร็จรูปลูกบาศก์ 240 กก./ตร.ซม.</t>
  </si>
  <si>
    <t xml:space="preserve"> - เหล็กเสริมคอนกรีต RBØ 6 มม.</t>
  </si>
  <si>
    <t xml:space="preserve"> - เหล็กเสริมคอนกรีต RBØ 9 มม.</t>
  </si>
  <si>
    <t xml:space="preserve"> - แบบหล่อคอนกรีต</t>
  </si>
  <si>
    <t>ก.ก.</t>
  </si>
  <si>
    <t xml:space="preserve"> - ท่อ PVC. ชั้น 8.5 ขนาดØ 2 นิ้ว</t>
  </si>
  <si>
    <t>อัน</t>
  </si>
  <si>
    <t xml:space="preserve"> - สามทาง PVC.  ขนาดØ 2 นิ้ว</t>
  </si>
  <si>
    <t>สามทาง  PVC Ø 2"</t>
  </si>
  <si>
    <t>กรวดขนาดใหญ่</t>
  </si>
  <si>
    <t>กรวดคละขนาด 1-2 นิ้ว</t>
  </si>
  <si>
    <t>พาณิชย์ ฯ แพร่</t>
  </si>
  <si>
    <t>ท่อ PVC.  ชั้น 8.5  Ø 2"</t>
  </si>
  <si>
    <t xml:space="preserve"> - เหล็กเสริมคอนกรีต DBØ 12 มม.</t>
  </si>
  <si>
    <t xml:space="preserve"> - เหล็กฉาก 50x50x4 มม. หนัก 18.36 กก./ท่อน</t>
  </si>
  <si>
    <t>กำหนดราคาวันที่ 4 กรกฎาคม 2568</t>
  </si>
  <si>
    <t>( นางเดือนเพ็ญ  นำวงศ์)</t>
  </si>
  <si>
    <t>( นายบุญชัย  อภิวัฒนสกุล )</t>
  </si>
  <si>
    <t>นักทรัพยากรบุคคล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</si>
</sst>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3" formatCode="_-* #,##0.00_-;\-* #,##0.00_-;_-* &quot;-&quot;??_-;_-@_-"/>
    <numFmt numFmtId="164" formatCode="_(* #,##0.00_);_(* \(#,##0.00\);_(* &quot;-&quot;??_);_(@_)"/>
    <numFmt numFmtId="165" formatCode="\t0.00E+00"/>
    <numFmt numFmtId="166" formatCode="&quot;฿&quot;\t#,##0_);\(&quot;฿&quot;\t#,##0\)"/>
    <numFmt numFmtId="167" formatCode="m/d/yy\ hh:mm"/>
    <numFmt numFmtId="168" formatCode="_(&quot;$&quot;* #,##0.000_);_(&quot;$&quot;* \(#,##0.000\);_(&quot;$&quot;* &quot;-&quot;??_);_(@_)"/>
    <numFmt numFmtId="169" formatCode="_(&quot;$&quot;* #,##0.0000_);_(&quot;$&quot;* \(#,##0.0000\);_(&quot;$&quot;* &quot;-&quot;??_);_(@_)"/>
    <numFmt numFmtId="170" formatCode="#,##0.0_);\(#,##0.0\)"/>
    <numFmt numFmtId="171" formatCode="0.0&quot;  &quot;"/>
    <numFmt numFmtId="172" formatCode="_-* #,##0.00000_-;\-* #,##0.00000_-;_-* &quot;-&quot;?????_-;_-@_-"/>
    <numFmt numFmtId="173" formatCode="#,##0.000000&quot; &quot;"/>
    <numFmt numFmtId="174" formatCode="#,###&quot;   &quot;"/>
    <numFmt numFmtId="175" formatCode="General_)"/>
    <numFmt numFmtId="176" formatCode="dd\-mm\-yy"/>
    <numFmt numFmtId="177" formatCode="_-* #,##0.0000_-;\-* #,##0.0000_-;_-* &quot;-&quot;??_-;_-@_-"/>
    <numFmt numFmtId="178" formatCode="#,##0.0000"/>
    <numFmt numFmtId="179" formatCode="0.000"/>
    <numFmt numFmtId="180" formatCode="0.0"/>
    <numFmt numFmtId="181" formatCode="_(* #,##0.000_);_(* \(#,##0.000\);_(* &quot;-&quot;??_);_(@_)"/>
    <numFmt numFmtId="182" formatCode="_-* #,##0_-;\-* #,##0_-;_-* &quot;-&quot;??_-;_-@_-"/>
    <numFmt numFmtId="183" formatCode="#,##0.000"/>
  </numFmts>
  <fonts count="47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sz val="16"/>
      <color theme="1"/>
      <name val="AngsanaUPC"/>
      <family val="2"/>
      <charset val="222"/>
    </font>
    <font>
      <sz val="14"/>
      <name val="AngsanaUPC"/>
      <family val="1"/>
    </font>
    <font>
      <sz val="10"/>
      <name val="Arial"/>
      <family val="2"/>
    </font>
    <font>
      <sz val="7"/>
      <name val="Small Fonts"/>
      <family val="2"/>
    </font>
    <font>
      <sz val="16"/>
      <name val="TH SarabunPSK"/>
      <family val="2"/>
    </font>
    <font>
      <sz val="16"/>
      <name val="Angsana New"/>
      <family val="1"/>
    </font>
    <font>
      <sz val="14"/>
      <name val="SV Rojchana"/>
    </font>
    <font>
      <sz val="16"/>
      <name val="DilleniaUPC"/>
      <family val="1"/>
    </font>
    <font>
      <sz val="11"/>
      <name val="?? ?????"/>
      <family val="3"/>
      <charset val="255"/>
    </font>
    <font>
      <sz val="12"/>
      <name val="????"/>
      <charset val="136"/>
    </font>
    <font>
      <sz val="10"/>
      <name val="Helv"/>
      <family val="2"/>
    </font>
    <font>
      <sz val="11"/>
      <name val="??"/>
      <family val="1"/>
    </font>
    <font>
      <sz val="14"/>
      <name val="Cordia New"/>
      <family val="3"/>
    </font>
    <font>
      <sz val="12"/>
      <name val="Times New Roman"/>
      <family val="1"/>
    </font>
    <font>
      <sz val="12"/>
      <name val="Helv"/>
      <family val="2"/>
    </font>
    <font>
      <b/>
      <i/>
      <sz val="24"/>
      <color indexed="49"/>
      <name val="Arial Narrow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4"/>
      <name val="AngsanaUPC"/>
      <family val="1"/>
    </font>
    <font>
      <b/>
      <sz val="12"/>
      <name val="Arial"/>
      <family val="2"/>
    </font>
    <font>
      <b/>
      <i/>
      <sz val="18"/>
      <color indexed="28"/>
      <name val="AngsanaUPC"/>
      <family val="1"/>
    </font>
    <font>
      <sz val="14"/>
      <name val="AngsanaUPC"/>
      <family val="1"/>
      <charset val="222"/>
    </font>
    <font>
      <sz val="11"/>
      <name val="Times New Roman"/>
      <family val="1"/>
    </font>
    <font>
      <sz val="16"/>
      <name val="DilleniaUPC"/>
      <family val="1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5"/>
      <name val="AngsanaUPC"/>
      <family val="1"/>
      <charset val="222"/>
    </font>
    <font>
      <sz val="16"/>
      <color indexed="10"/>
      <name val="TH SarabunPSK"/>
      <family val="2"/>
    </font>
    <font>
      <sz val="11"/>
      <color theme="1"/>
      <name val="TH SarabunPSK"/>
      <family val="2"/>
    </font>
    <font>
      <sz val="16"/>
      <color rgb="FF0000FF"/>
      <name val="TH SarabunPSK"/>
      <family val="2"/>
    </font>
    <font>
      <b/>
      <sz val="16"/>
      <color theme="1"/>
      <name val="TH SarabunPSK"/>
      <family val="2"/>
    </font>
    <font>
      <sz val="16"/>
      <name val="AngsanaUPC"/>
      <family val="1"/>
      <charset val="222"/>
    </font>
    <font>
      <sz val="15"/>
      <color rgb="FFFF0000"/>
      <name val="TH SarabunPSK"/>
      <family val="2"/>
    </font>
    <font>
      <sz val="15"/>
      <name val="TH SarabunPSK"/>
      <family val="2"/>
    </font>
    <font>
      <sz val="16"/>
      <color theme="1"/>
      <name val="Angsana New"/>
      <family val="1"/>
    </font>
    <font>
      <b/>
      <sz val="16"/>
      <name val="Angsana New"/>
      <family val="1"/>
    </font>
    <font>
      <sz val="17.600000000000001"/>
      <name val="Angsana New"/>
      <family val="1"/>
    </font>
    <font>
      <b/>
      <u/>
      <sz val="16"/>
      <name val="Angsana New"/>
      <family val="1"/>
    </font>
    <font>
      <sz val="11"/>
      <color theme="1"/>
      <name val="Angsana New"/>
      <family val="1"/>
    </font>
    <font>
      <sz val="16"/>
      <color rgb="FFFF0000"/>
      <name val="Angsana New"/>
      <family val="1"/>
    </font>
    <font>
      <b/>
      <i/>
      <sz val="16"/>
      <name val="Angsana New"/>
      <family val="1"/>
    </font>
    <font>
      <sz val="16"/>
      <color rgb="FF0000FF"/>
      <name val="Angsana New"/>
      <family val="1"/>
    </font>
  </fonts>
  <fills count="1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109">
    <xf numFmtId="0" fontId="0" fillId="0" borderId="0"/>
    <xf numFmtId="43" fontId="1" fillId="0" borderId="0" applyFont="0" applyFill="0" applyBorder="0" applyAlignment="0" applyProtection="0"/>
    <xf numFmtId="0" fontId="9" fillId="0" borderId="0">
      <alignment vertical="center"/>
    </xf>
    <xf numFmtId="175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4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38" fontId="11" fillId="0" borderId="0" applyFont="0" applyFill="0" applyBorder="0" applyAlignment="0" applyProtection="0"/>
    <xf numFmtId="40" fontId="11" fillId="0" borderId="0" applyFont="0" applyFill="0" applyBorder="0" applyAlignment="0" applyProtection="0"/>
    <xf numFmtId="0" fontId="14" fillId="0" borderId="0"/>
    <xf numFmtId="0" fontId="17" fillId="0" borderId="0"/>
    <xf numFmtId="9" fontId="5" fillId="2" borderId="0"/>
    <xf numFmtId="0" fontId="18" fillId="3" borderId="13">
      <alignment horizontal="centerContinuous" vertical="top"/>
    </xf>
    <xf numFmtId="0" fontId="5" fillId="0" borderId="0" applyFill="0" applyBorder="0" applyAlignment="0"/>
    <xf numFmtId="170" fontId="13" fillId="0" borderId="0" applyFill="0" applyBorder="0" applyAlignment="0"/>
    <xf numFmtId="0" fontId="16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168" fontId="4" fillId="0" borderId="0" applyFill="0" applyBorder="0" applyAlignment="0"/>
    <xf numFmtId="171" fontId="10" fillId="0" borderId="0" applyFill="0" applyBorder="0" applyAlignment="0"/>
    <xf numFmtId="170" fontId="13" fillId="0" borderId="0" applyFill="0" applyBorder="0" applyAlignment="0"/>
    <xf numFmtId="168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8" fillId="3" borderId="13">
      <alignment horizontal="centerContinuous" vertical="top"/>
    </xf>
    <xf numFmtId="170" fontId="13" fillId="0" borderId="0" applyFont="0" applyFill="0" applyBorder="0" applyAlignment="0" applyProtection="0"/>
    <xf numFmtId="14" fontId="20" fillId="0" borderId="0" applyFill="0" applyBorder="0" applyAlignment="0"/>
    <xf numFmtId="15" fontId="21" fillId="4" borderId="0">
      <alignment horizontal="centerContinuous"/>
    </xf>
    <xf numFmtId="168" fontId="4" fillId="0" borderId="0" applyFill="0" applyBorder="0" applyAlignment="0"/>
    <xf numFmtId="170" fontId="13" fillId="0" borderId="0" applyFill="0" applyBorder="0" applyAlignment="0"/>
    <xf numFmtId="168" fontId="4" fillId="0" borderId="0" applyFill="0" applyBorder="0" applyAlignment="0"/>
    <xf numFmtId="171" fontId="10" fillId="0" borderId="0" applyFill="0" applyBorder="0" applyAlignment="0"/>
    <xf numFmtId="170" fontId="13" fillId="0" borderId="0" applyFill="0" applyBorder="0" applyAlignment="0"/>
    <xf numFmtId="38" fontId="19" fillId="3" borderId="0" applyNumberFormat="0" applyBorder="0" applyAlignment="0" applyProtection="0"/>
    <xf numFmtId="0" fontId="22" fillId="0" borderId="14" applyNumberFormat="0" applyAlignment="0" applyProtection="0">
      <alignment horizontal="left" vertical="center"/>
    </xf>
    <xf numFmtId="0" fontId="22" fillId="0" borderId="15">
      <alignment horizontal="left" vertical="center"/>
    </xf>
    <xf numFmtId="10" fontId="19" fillId="5" borderId="1" applyNumberFormat="0" applyBorder="0" applyAlignment="0" applyProtection="0"/>
    <xf numFmtId="168" fontId="4" fillId="0" borderId="0" applyFill="0" applyBorder="0" applyAlignment="0"/>
    <xf numFmtId="170" fontId="13" fillId="0" borderId="0" applyFill="0" applyBorder="0" applyAlignment="0"/>
    <xf numFmtId="168" fontId="4" fillId="0" borderId="0" applyFill="0" applyBorder="0" applyAlignment="0"/>
    <xf numFmtId="171" fontId="10" fillId="0" borderId="0" applyFill="0" applyBorder="0" applyAlignment="0"/>
    <xf numFmtId="170" fontId="13" fillId="0" borderId="0" applyFill="0" applyBorder="0" applyAlignment="0"/>
    <xf numFmtId="37" fontId="6" fillId="0" borderId="0"/>
    <xf numFmtId="172" fontId="4" fillId="0" borderId="0"/>
    <xf numFmtId="0" fontId="4" fillId="0" borderId="0"/>
    <xf numFmtId="0" fontId="4" fillId="0" borderId="0"/>
    <xf numFmtId="0" fontId="15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0" fontId="5" fillId="0" borderId="0" applyFont="0" applyFill="0" applyBorder="0" applyAlignment="0" applyProtection="0"/>
    <xf numFmtId="168" fontId="4" fillId="0" borderId="0" applyFill="0" applyBorder="0" applyAlignment="0"/>
    <xf numFmtId="170" fontId="13" fillId="0" borderId="0" applyFill="0" applyBorder="0" applyAlignment="0"/>
    <xf numFmtId="168" fontId="4" fillId="0" borderId="0" applyFill="0" applyBorder="0" applyAlignment="0"/>
    <xf numFmtId="171" fontId="10" fillId="0" borderId="0" applyFill="0" applyBorder="0" applyAlignment="0"/>
    <xf numFmtId="170" fontId="13" fillId="0" borderId="0" applyFill="0" applyBorder="0" applyAlignment="0"/>
    <xf numFmtId="0" fontId="23" fillId="2" borderId="0"/>
    <xf numFmtId="49" fontId="20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0" fontId="3" fillId="0" borderId="0"/>
    <xf numFmtId="165" fontId="26" fillId="0" borderId="0" applyFont="0" applyFill="0" applyBorder="0" applyAlignment="0" applyProtection="0"/>
    <xf numFmtId="168" fontId="24" fillId="0" borderId="0" applyFill="0" applyBorder="0" applyAlignment="0"/>
    <xf numFmtId="171" fontId="26" fillId="0" borderId="0" applyFill="0" applyBorder="0" applyAlignment="0"/>
    <xf numFmtId="168" fontId="24" fillId="0" borderId="0" applyFont="0" applyFill="0" applyBorder="0" applyAlignment="0" applyProtection="0"/>
    <xf numFmtId="168" fontId="24" fillId="0" borderId="0" applyFill="0" applyBorder="0" applyAlignment="0"/>
    <xf numFmtId="168" fontId="24" fillId="0" borderId="0" applyFill="0" applyBorder="0" applyAlignment="0"/>
    <xf numFmtId="171" fontId="26" fillId="0" borderId="0" applyFill="0" applyBorder="0" applyAlignment="0"/>
    <xf numFmtId="168" fontId="24" fillId="0" borderId="0" applyFill="0" applyBorder="0" applyAlignment="0"/>
    <xf numFmtId="168" fontId="24" fillId="0" borderId="0" applyFill="0" applyBorder="0" applyAlignment="0"/>
    <xf numFmtId="171" fontId="26" fillId="0" borderId="0" applyFill="0" applyBorder="0" applyAlignment="0"/>
    <xf numFmtId="0" fontId="4" fillId="0" borderId="0"/>
    <xf numFmtId="0" fontId="25" fillId="0" borderId="0"/>
    <xf numFmtId="0" fontId="3" fillId="0" borderId="0"/>
    <xf numFmtId="0" fontId="4" fillId="0" borderId="0"/>
    <xf numFmtId="168" fontId="24" fillId="0" borderId="0" applyFill="0" applyBorder="0" applyAlignment="0"/>
    <xf numFmtId="168" fontId="24" fillId="0" borderId="0" applyFill="0" applyBorder="0" applyAlignment="0"/>
    <xf numFmtId="171" fontId="26" fillId="0" borderId="0" applyFill="0" applyBorder="0" applyAlignment="0"/>
    <xf numFmtId="164" fontId="2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9" fontId="5" fillId="0" borderId="0" applyFont="0" applyFill="0" applyBorder="0" applyAlignment="0" applyProtection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31" fillId="0" borderId="0"/>
    <xf numFmtId="0" fontId="36" fillId="0" borderId="0"/>
    <xf numFmtId="43" fontId="36" fillId="0" borderId="0" applyFont="0" applyFill="0" applyBorder="0" applyAlignment="0" applyProtection="0"/>
    <xf numFmtId="0" fontId="1" fillId="0" borderId="0"/>
  </cellStyleXfs>
  <cellXfs count="432">
    <xf numFmtId="0" fontId="0" fillId="0" borderId="0" xfId="0"/>
    <xf numFmtId="0" fontId="2" fillId="0" borderId="0" xfId="0" applyFont="1"/>
    <xf numFmtId="0" fontId="33" fillId="0" borderId="0" xfId="0" applyFont="1"/>
    <xf numFmtId="0" fontId="2" fillId="0" borderId="0" xfId="0" applyFont="1" applyAlignment="1">
      <alignment horizontal="right"/>
    </xf>
    <xf numFmtId="43" fontId="2" fillId="0" borderId="0" xfId="0" applyNumberFormat="1" applyFont="1"/>
    <xf numFmtId="43" fontId="2" fillId="0" borderId="0" xfId="1" applyFont="1"/>
    <xf numFmtId="0" fontId="2" fillId="0" borderId="1" xfId="0" applyFont="1" applyBorder="1" applyAlignment="1">
      <alignment horizontal="center"/>
    </xf>
    <xf numFmtId="43" fontId="2" fillId="0" borderId="1" xfId="1" applyFont="1" applyBorder="1" applyAlignment="1">
      <alignment horizontal="center"/>
    </xf>
    <xf numFmtId="4" fontId="35" fillId="7" borderId="1" xfId="1" applyNumberFormat="1" applyFont="1" applyFill="1" applyBorder="1" applyAlignment="1">
      <alignment horizontal="right" indent="1"/>
    </xf>
    <xf numFmtId="0" fontId="28" fillId="0" borderId="1" xfId="67" applyFont="1" applyBorder="1" applyAlignment="1">
      <alignment horizontal="center"/>
    </xf>
    <xf numFmtId="0" fontId="28" fillId="0" borderId="13" xfId="67" applyFont="1" applyBorder="1" applyAlignment="1">
      <alignment horizontal="left"/>
    </xf>
    <xf numFmtId="164" fontId="7" fillId="0" borderId="1" xfId="65" applyNumberFormat="1" applyFont="1" applyBorder="1"/>
    <xf numFmtId="0" fontId="7" fillId="0" borderId="1" xfId="67" applyFont="1" applyBorder="1" applyAlignment="1">
      <alignment horizontal="center"/>
    </xf>
    <xf numFmtId="164" fontId="34" fillId="0" borderId="1" xfId="67" applyNumberFormat="1" applyFont="1" applyBorder="1"/>
    <xf numFmtId="164" fontId="7" fillId="0" borderId="1" xfId="65" applyNumberFormat="1" applyFont="1" applyBorder="1" applyAlignment="1"/>
    <xf numFmtId="0" fontId="7" fillId="0" borderId="1" xfId="67" applyFont="1" applyBorder="1"/>
    <xf numFmtId="0" fontId="7" fillId="0" borderId="37" xfId="67" applyFont="1" applyBorder="1"/>
    <xf numFmtId="164" fontId="34" fillId="0" borderId="1" xfId="65" applyNumberFormat="1" applyFont="1" applyBorder="1"/>
    <xf numFmtId="0" fontId="34" fillId="0" borderId="1" xfId="67" applyFont="1" applyBorder="1" applyAlignment="1">
      <alignment horizontal="center"/>
    </xf>
    <xf numFmtId="0" fontId="28" fillId="0" borderId="1" xfId="67" applyFont="1" applyBorder="1"/>
    <xf numFmtId="181" fontId="7" fillId="0" borderId="1" xfId="65" applyNumberFormat="1" applyFont="1" applyBorder="1"/>
    <xf numFmtId="0" fontId="2" fillId="0" borderId="37" xfId="0" applyFont="1" applyBorder="1" applyAlignment="1">
      <alignment horizontal="center"/>
    </xf>
    <xf numFmtId="43" fontId="7" fillId="0" borderId="1" xfId="65" applyFont="1" applyBorder="1"/>
    <xf numFmtId="4" fontId="2" fillId="0" borderId="1" xfId="1" applyNumberFormat="1" applyFont="1" applyFill="1" applyBorder="1" applyAlignment="1">
      <alignment horizontal="right" indent="1"/>
    </xf>
    <xf numFmtId="177" fontId="37" fillId="0" borderId="0" xfId="1" applyNumberFormat="1" applyFont="1"/>
    <xf numFmtId="177" fontId="38" fillId="0" borderId="0" xfId="0" applyNumberFormat="1" applyFont="1"/>
    <xf numFmtId="0" fontId="39" fillId="0" borderId="0" xfId="0" applyFont="1" applyAlignment="1">
      <alignment horizontal="center"/>
    </xf>
    <xf numFmtId="0" fontId="39" fillId="0" borderId="0" xfId="0" applyFont="1"/>
    <xf numFmtId="49" fontId="39" fillId="0" borderId="0" xfId="0" applyNumberFormat="1" applyFont="1"/>
    <xf numFmtId="4" fontId="40" fillId="0" borderId="2" xfId="104" applyNumberFormat="1" applyFont="1" applyBorder="1" applyAlignment="1">
      <alignment horizontal="center" vertical="center"/>
    </xf>
    <xf numFmtId="4" fontId="40" fillId="0" borderId="4" xfId="104" applyNumberFormat="1" applyFont="1" applyBorder="1" applyAlignment="1">
      <alignment horizontal="center" vertical="center"/>
    </xf>
    <xf numFmtId="0" fontId="40" fillId="0" borderId="3" xfId="0" applyFont="1" applyBorder="1" applyAlignment="1">
      <alignment horizontal="center" vertical="center"/>
    </xf>
    <xf numFmtId="0" fontId="40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9" xfId="0" applyFont="1" applyBorder="1" applyAlignment="1">
      <alignment horizontal="center" vertical="center"/>
    </xf>
    <xf numFmtId="43" fontId="8" fillId="0" borderId="3" xfId="1" applyFont="1" applyBorder="1" applyAlignment="1">
      <alignment horizontal="right" vertical="center"/>
    </xf>
    <xf numFmtId="43" fontId="8" fillId="0" borderId="5" xfId="1" applyFont="1" applyBorder="1" applyAlignment="1">
      <alignment vertical="center"/>
    </xf>
    <xf numFmtId="43" fontId="8" fillId="0" borderId="7" xfId="1" applyFont="1" applyBorder="1" applyAlignment="1">
      <alignment vertical="center"/>
    </xf>
    <xf numFmtId="43" fontId="8" fillId="0" borderId="3" xfId="1" applyFont="1" applyBorder="1" applyAlignment="1">
      <alignment vertical="center"/>
    </xf>
    <xf numFmtId="43" fontId="8" fillId="0" borderId="2" xfId="1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9" xfId="0" applyFont="1" applyBorder="1" applyAlignment="1">
      <alignment vertical="center"/>
    </xf>
    <xf numFmtId="43" fontId="8" fillId="0" borderId="8" xfId="1" applyFont="1" applyBorder="1" applyAlignment="1">
      <alignment horizontal="center" vertical="center"/>
    </xf>
    <xf numFmtId="43" fontId="8" fillId="0" borderId="9" xfId="1" applyFont="1" applyBorder="1" applyAlignment="1">
      <alignment horizontal="center" vertical="center"/>
    </xf>
    <xf numFmtId="177" fontId="8" fillId="0" borderId="3" xfId="1" applyNumberFormat="1" applyFont="1" applyBorder="1" applyAlignment="1">
      <alignment vertical="center"/>
    </xf>
    <xf numFmtId="43" fontId="8" fillId="0" borderId="8" xfId="1" applyFont="1" applyBorder="1" applyAlignment="1">
      <alignment vertical="center"/>
    </xf>
    <xf numFmtId="177" fontId="8" fillId="0" borderId="0" xfId="1" applyNumberFormat="1" applyFont="1" applyBorder="1" applyAlignment="1">
      <alignment vertical="center"/>
    </xf>
    <xf numFmtId="0" fontId="40" fillId="0" borderId="0" xfId="0" applyFont="1" applyAlignment="1">
      <alignment horizontal="left" vertical="center"/>
    </xf>
    <xf numFmtId="43" fontId="8" fillId="0" borderId="0" xfId="1" applyFont="1" applyBorder="1" applyAlignment="1">
      <alignment horizontal="right" vertical="center"/>
    </xf>
    <xf numFmtId="43" fontId="8" fillId="0" borderId="9" xfId="1" applyFont="1" applyBorder="1" applyAlignment="1">
      <alignment vertical="center"/>
    </xf>
    <xf numFmtId="43" fontId="39" fillId="0" borderId="0" xfId="0" applyNumberFormat="1" applyFont="1"/>
    <xf numFmtId="0" fontId="8" fillId="0" borderId="4" xfId="0" applyFont="1" applyBorder="1" applyAlignment="1">
      <alignment horizontal="center" vertical="center"/>
    </xf>
    <xf numFmtId="0" fontId="8" fillId="0" borderId="11" xfId="0" applyFont="1" applyBorder="1" applyAlignment="1">
      <alignment horizontal="left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vertical="center"/>
    </xf>
    <xf numFmtId="0" fontId="8" fillId="0" borderId="12" xfId="0" applyFont="1" applyBorder="1" applyAlignment="1">
      <alignment horizontal="center" vertical="center"/>
    </xf>
    <xf numFmtId="43" fontId="8" fillId="0" borderId="11" xfId="1" applyFont="1" applyBorder="1" applyAlignment="1">
      <alignment horizontal="right" vertical="center"/>
    </xf>
    <xf numFmtId="43" fontId="8" fillId="0" borderId="10" xfId="1" applyFont="1" applyBorder="1" applyAlignment="1">
      <alignment vertical="center"/>
    </xf>
    <xf numFmtId="43" fontId="8" fillId="0" borderId="12" xfId="1" applyFont="1" applyBorder="1" applyAlignment="1">
      <alignment vertical="center"/>
    </xf>
    <xf numFmtId="177" fontId="8" fillId="0" borderId="4" xfId="1" applyNumberFormat="1" applyFont="1" applyBorder="1" applyAlignment="1">
      <alignment vertical="center"/>
    </xf>
    <xf numFmtId="43" fontId="8" fillId="0" borderId="4" xfId="1" applyFont="1" applyBorder="1" applyAlignment="1">
      <alignment vertical="center"/>
    </xf>
    <xf numFmtId="0" fontId="8" fillId="0" borderId="0" xfId="0" applyFont="1"/>
    <xf numFmtId="0" fontId="40" fillId="0" borderId="0" xfId="0" applyFont="1" applyAlignment="1">
      <alignment horizontal="right"/>
    </xf>
    <xf numFmtId="0" fontId="40" fillId="0" borderId="0" xfId="0" applyFont="1"/>
    <xf numFmtId="0" fontId="8" fillId="0" borderId="0" xfId="0" applyFont="1" applyAlignment="1">
      <alignment horizontal="center"/>
    </xf>
    <xf numFmtId="178" fontId="8" fillId="0" borderId="0" xfId="0" applyNumberFormat="1" applyFont="1" applyAlignment="1">
      <alignment horizontal="right" vertical="center"/>
    </xf>
    <xf numFmtId="43" fontId="40" fillId="0" borderId="1" xfId="1" applyFont="1" applyBorder="1"/>
    <xf numFmtId="43" fontId="40" fillId="0" borderId="2" xfId="1" applyFont="1" applyBorder="1" applyAlignment="1">
      <alignment vertical="center"/>
    </xf>
    <xf numFmtId="43" fontId="40" fillId="0" borderId="26" xfId="1" applyFont="1" applyBorder="1"/>
    <xf numFmtId="4" fontId="8" fillId="0" borderId="14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105" applyFont="1"/>
    <xf numFmtId="43" fontId="39" fillId="0" borderId="0" xfId="1" applyFont="1"/>
    <xf numFmtId="178" fontId="8" fillId="0" borderId="0" xfId="0" applyNumberFormat="1" applyFont="1" applyAlignment="1">
      <alignment horizontal="center" vertical="center"/>
    </xf>
    <xf numFmtId="4" fontId="39" fillId="0" borderId="0" xfId="0" applyNumberFormat="1" applyFont="1" applyAlignment="1">
      <alignment horizontal="center"/>
    </xf>
    <xf numFmtId="0" fontId="8" fillId="8" borderId="0" xfId="0" applyFont="1" applyFill="1" applyAlignment="1">
      <alignment horizontal="center"/>
    </xf>
    <xf numFmtId="0" fontId="8" fillId="8" borderId="0" xfId="0" applyFont="1" applyFill="1"/>
    <xf numFmtId="49" fontId="8" fillId="8" borderId="0" xfId="0" applyNumberFormat="1" applyFont="1" applyFill="1"/>
    <xf numFmtId="0" fontId="8" fillId="8" borderId="0" xfId="0" applyFont="1" applyFill="1" applyAlignment="1">
      <alignment vertical="top"/>
    </xf>
    <xf numFmtId="0" fontId="8" fillId="8" borderId="0" xfId="0" applyFont="1" applyFill="1" applyAlignment="1">
      <alignment horizontal="right"/>
    </xf>
    <xf numFmtId="4" fontId="40" fillId="8" borderId="2" xfId="104" applyNumberFormat="1" applyFont="1" applyFill="1" applyBorder="1" applyAlignment="1">
      <alignment horizontal="center" vertical="center"/>
    </xf>
    <xf numFmtId="4" fontId="40" fillId="8" borderId="4" xfId="104" applyNumberFormat="1" applyFont="1" applyFill="1" applyBorder="1" applyAlignment="1">
      <alignment horizontal="center" vertical="center"/>
    </xf>
    <xf numFmtId="0" fontId="8" fillId="8" borderId="0" xfId="0" applyFont="1" applyFill="1" applyAlignment="1">
      <alignment horizontal="left" vertical="center"/>
    </xf>
    <xf numFmtId="0" fontId="8" fillId="8" borderId="0" xfId="0" applyFont="1" applyFill="1" applyAlignment="1">
      <alignment vertical="center"/>
    </xf>
    <xf numFmtId="43" fontId="8" fillId="8" borderId="0" xfId="0" applyNumberFormat="1" applyFont="1" applyFill="1"/>
    <xf numFmtId="0" fontId="40" fillId="8" borderId="0" xfId="0" applyFont="1" applyFill="1"/>
    <xf numFmtId="43" fontId="40" fillId="8" borderId="26" xfId="1" applyFont="1" applyFill="1" applyBorder="1"/>
    <xf numFmtId="4" fontId="8" fillId="8" borderId="14" xfId="0" applyNumberFormat="1" applyFont="1" applyFill="1" applyBorder="1" applyAlignment="1">
      <alignment horizontal="center" vertical="center"/>
    </xf>
    <xf numFmtId="43" fontId="8" fillId="8" borderId="0" xfId="1" applyFont="1" applyFill="1"/>
    <xf numFmtId="4" fontId="8" fillId="8" borderId="0" xfId="0" applyNumberFormat="1" applyFont="1" applyFill="1" applyAlignment="1">
      <alignment horizontal="center"/>
    </xf>
    <xf numFmtId="4" fontId="8" fillId="8" borderId="0" xfId="0" applyNumberFormat="1" applyFont="1" applyFill="1"/>
    <xf numFmtId="0" fontId="8" fillId="8" borderId="0" xfId="0" applyFont="1" applyFill="1" applyAlignment="1">
      <alignment horizontal="left"/>
    </xf>
    <xf numFmtId="0" fontId="8" fillId="8" borderId="0" xfId="0" applyFont="1" applyFill="1" applyAlignment="1">
      <alignment horizontal="left" vertical="top"/>
    </xf>
    <xf numFmtId="0" fontId="8" fillId="8" borderId="0" xfId="80" applyFont="1" applyFill="1"/>
    <xf numFmtId="0" fontId="8" fillId="8" borderId="2" xfId="0" applyFont="1" applyFill="1" applyBorder="1" applyAlignment="1">
      <alignment horizontal="center"/>
    </xf>
    <xf numFmtId="0" fontId="8" fillId="8" borderId="3" xfId="0" applyFont="1" applyFill="1" applyBorder="1" applyAlignment="1">
      <alignment horizontal="center"/>
    </xf>
    <xf numFmtId="0" fontId="8" fillId="8" borderId="8" xfId="0" applyFont="1" applyFill="1" applyBorder="1" applyAlignment="1">
      <alignment horizontal="center"/>
    </xf>
    <xf numFmtId="0" fontId="8" fillId="8" borderId="9" xfId="0" applyFont="1" applyFill="1" applyBorder="1" applyAlignment="1">
      <alignment horizontal="center"/>
    </xf>
    <xf numFmtId="0" fontId="8" fillId="8" borderId="4" xfId="0" applyFont="1" applyFill="1" applyBorder="1" applyAlignment="1">
      <alignment horizontal="center"/>
    </xf>
    <xf numFmtId="0" fontId="8" fillId="8" borderId="10" xfId="0" applyFont="1" applyFill="1" applyBorder="1" applyAlignment="1">
      <alignment horizontal="center"/>
    </xf>
    <xf numFmtId="0" fontId="8" fillId="8" borderId="11" xfId="0" applyFont="1" applyFill="1" applyBorder="1" applyAlignment="1">
      <alignment horizontal="center"/>
    </xf>
    <xf numFmtId="0" fontId="8" fillId="8" borderId="12" xfId="0" applyFont="1" applyFill="1" applyBorder="1" applyAlignment="1">
      <alignment horizontal="center"/>
    </xf>
    <xf numFmtId="0" fontId="8" fillId="8" borderId="27" xfId="0" applyFont="1" applyFill="1" applyBorder="1" applyAlignment="1">
      <alignment horizontal="center"/>
    </xf>
    <xf numFmtId="0" fontId="8" fillId="8" borderId="23" xfId="0" applyFont="1" applyFill="1" applyBorder="1" applyAlignment="1">
      <alignment horizontal="left"/>
    </xf>
    <xf numFmtId="0" fontId="8" fillId="8" borderId="23" xfId="0" applyFont="1" applyFill="1" applyBorder="1" applyAlignment="1">
      <alignment horizontal="center"/>
    </xf>
    <xf numFmtId="0" fontId="8" fillId="8" borderId="28" xfId="0" applyFont="1" applyFill="1" applyBorder="1" applyAlignment="1">
      <alignment horizontal="center"/>
    </xf>
    <xf numFmtId="43" fontId="8" fillId="9" borderId="27" xfId="1" applyFont="1" applyFill="1" applyBorder="1" applyAlignment="1">
      <alignment horizontal="center"/>
    </xf>
    <xf numFmtId="43" fontId="8" fillId="9" borderId="27" xfId="1" applyFont="1" applyFill="1" applyBorder="1"/>
    <xf numFmtId="43" fontId="8" fillId="12" borderId="29" xfId="1" applyFont="1" applyFill="1" applyBorder="1"/>
    <xf numFmtId="43" fontId="8" fillId="8" borderId="27" xfId="1" applyFont="1" applyFill="1" applyBorder="1"/>
    <xf numFmtId="43" fontId="8" fillId="8" borderId="27" xfId="1" applyFont="1" applyFill="1" applyBorder="1" applyAlignment="1">
      <alignment horizontal="center"/>
    </xf>
    <xf numFmtId="0" fontId="8" fillId="8" borderId="29" xfId="0" applyFont="1" applyFill="1" applyBorder="1" applyAlignment="1">
      <alignment horizontal="center"/>
    </xf>
    <xf numFmtId="0" fontId="8" fillId="8" borderId="21" xfId="67" applyFont="1" applyFill="1" applyBorder="1"/>
    <xf numFmtId="0" fontId="8" fillId="8" borderId="21" xfId="0" applyFont="1" applyFill="1" applyBorder="1"/>
    <xf numFmtId="0" fontId="8" fillId="8" borderId="30" xfId="0" applyFont="1" applyFill="1" applyBorder="1"/>
    <xf numFmtId="43" fontId="8" fillId="9" borderId="29" xfId="1" applyFont="1" applyFill="1" applyBorder="1"/>
    <xf numFmtId="43" fontId="8" fillId="8" borderId="29" xfId="1" applyFont="1" applyFill="1" applyBorder="1"/>
    <xf numFmtId="43" fontId="8" fillId="8" borderId="29" xfId="1" applyFont="1" applyFill="1" applyBorder="1" applyAlignment="1">
      <alignment horizontal="center"/>
    </xf>
    <xf numFmtId="0" fontId="8" fillId="8" borderId="21" xfId="98" applyFont="1" applyFill="1" applyBorder="1"/>
    <xf numFmtId="43" fontId="8" fillId="9" borderId="29" xfId="1" applyFont="1" applyFill="1" applyBorder="1" applyAlignment="1">
      <alignment horizontal="right" vertical="center" indent="1"/>
    </xf>
    <xf numFmtId="0" fontId="8" fillId="8" borderId="21" xfId="100" applyFont="1" applyFill="1" applyBorder="1"/>
    <xf numFmtId="0" fontId="8" fillId="8" borderId="21" xfId="0" applyFont="1" applyFill="1" applyBorder="1" applyAlignment="1">
      <alignment horizontal="left"/>
    </xf>
    <xf numFmtId="0" fontId="8" fillId="8" borderId="31" xfId="0" applyFont="1" applyFill="1" applyBorder="1" applyAlignment="1">
      <alignment horizontal="left"/>
    </xf>
    <xf numFmtId="0" fontId="8" fillId="8" borderId="32" xfId="0" applyFont="1" applyFill="1" applyBorder="1" applyAlignment="1">
      <alignment horizontal="center"/>
    </xf>
    <xf numFmtId="0" fontId="8" fillId="8" borderId="33" xfId="0" applyFont="1" applyFill="1" applyBorder="1"/>
    <xf numFmtId="0" fontId="8" fillId="8" borderId="34" xfId="0" applyFont="1" applyFill="1" applyBorder="1"/>
    <xf numFmtId="0" fontId="8" fillId="8" borderId="35" xfId="0" applyFont="1" applyFill="1" applyBorder="1"/>
    <xf numFmtId="0" fontId="8" fillId="8" borderId="32" xfId="0" applyFont="1" applyFill="1" applyBorder="1"/>
    <xf numFmtId="43" fontId="8" fillId="8" borderId="32" xfId="1" applyFont="1" applyFill="1" applyBorder="1"/>
    <xf numFmtId="0" fontId="42" fillId="8" borderId="0" xfId="90" applyFont="1" applyFill="1"/>
    <xf numFmtId="0" fontId="8" fillId="8" borderId="0" xfId="90" applyFont="1" applyFill="1" applyAlignment="1">
      <alignment horizontal="center"/>
    </xf>
    <xf numFmtId="43" fontId="8" fillId="8" borderId="19" xfId="1" applyFont="1" applyFill="1" applyBorder="1" applyAlignment="1">
      <alignment vertical="center"/>
    </xf>
    <xf numFmtId="43" fontId="8" fillId="8" borderId="16" xfId="1" applyFont="1" applyFill="1" applyBorder="1"/>
    <xf numFmtId="0" fontId="42" fillId="8" borderId="0" xfId="0" applyFont="1" applyFill="1" applyProtection="1">
      <protection hidden="1"/>
    </xf>
    <xf numFmtId="0" fontId="8" fillId="8" borderId="0" xfId="0" applyFont="1" applyFill="1" applyProtection="1">
      <protection hidden="1"/>
    </xf>
    <xf numFmtId="0" fontId="8" fillId="8" borderId="0" xfId="0" applyFont="1" applyFill="1" applyAlignment="1" applyProtection="1">
      <alignment horizontal="right"/>
      <protection hidden="1"/>
    </xf>
    <xf numFmtId="43" fontId="8" fillId="8" borderId="25" xfId="1" applyFont="1" applyFill="1" applyBorder="1" applyAlignment="1" applyProtection="1">
      <protection hidden="1"/>
    </xf>
    <xf numFmtId="0" fontId="8" fillId="8" borderId="0" xfId="0" applyFont="1" applyFill="1" applyAlignment="1" applyProtection="1">
      <alignment horizontal="center"/>
      <protection hidden="1"/>
    </xf>
    <xf numFmtId="0" fontId="8" fillId="8" borderId="0" xfId="0" applyFont="1" applyFill="1" applyAlignment="1" applyProtection="1">
      <alignment horizontal="left"/>
      <protection hidden="1"/>
    </xf>
    <xf numFmtId="43" fontId="8" fillId="8" borderId="20" xfId="1" applyFont="1" applyFill="1" applyBorder="1" applyAlignment="1" applyProtection="1">
      <protection hidden="1"/>
    </xf>
    <xf numFmtId="43" fontId="8" fillId="8" borderId="20" xfId="1" applyFont="1" applyFill="1" applyBorder="1" applyAlignment="1">
      <alignment horizontal="right" indent="1"/>
    </xf>
    <xf numFmtId="164" fontId="8" fillId="8" borderId="0" xfId="0" applyNumberFormat="1" applyFont="1" applyFill="1" applyAlignment="1" applyProtection="1">
      <alignment horizontal="right"/>
      <protection hidden="1"/>
    </xf>
    <xf numFmtId="181" fontId="8" fillId="8" borderId="0" xfId="1" applyNumberFormat="1" applyFont="1" applyFill="1" applyBorder="1" applyAlignment="1" applyProtection="1">
      <alignment horizontal="center"/>
      <protection hidden="1"/>
    </xf>
    <xf numFmtId="43" fontId="8" fillId="8" borderId="0" xfId="1" applyFont="1" applyFill="1" applyBorder="1" applyAlignment="1" applyProtection="1">
      <protection hidden="1"/>
    </xf>
    <xf numFmtId="0" fontId="8" fillId="8" borderId="0" xfId="0" quotePrefix="1" applyFont="1" applyFill="1" applyAlignment="1" applyProtection="1">
      <alignment horizontal="left"/>
      <protection hidden="1"/>
    </xf>
    <xf numFmtId="43" fontId="8" fillId="8" borderId="11" xfId="1" applyFont="1" applyFill="1" applyBorder="1" applyAlignment="1">
      <alignment horizontal="right" indent="1"/>
    </xf>
    <xf numFmtId="43" fontId="8" fillId="8" borderId="0" xfId="1" applyFont="1" applyFill="1" applyBorder="1"/>
    <xf numFmtId="181" fontId="8" fillId="8" borderId="25" xfId="1" applyNumberFormat="1" applyFont="1" applyFill="1" applyBorder="1" applyAlignment="1" applyProtection="1">
      <protection hidden="1"/>
    </xf>
    <xf numFmtId="181" fontId="8" fillId="8" borderId="20" xfId="1" applyNumberFormat="1" applyFont="1" applyFill="1" applyBorder="1" applyAlignment="1" applyProtection="1">
      <protection hidden="1"/>
    </xf>
    <xf numFmtId="181" fontId="8" fillId="8" borderId="20" xfId="1" applyNumberFormat="1" applyFont="1" applyFill="1" applyBorder="1" applyAlignment="1"/>
    <xf numFmtId="164" fontId="8" fillId="8" borderId="20" xfId="1" applyNumberFormat="1" applyFont="1" applyFill="1" applyBorder="1" applyAlignment="1" applyProtection="1">
      <protection hidden="1"/>
    </xf>
    <xf numFmtId="43" fontId="8" fillId="8" borderId="16" xfId="0" applyNumberFormat="1" applyFont="1" applyFill="1" applyBorder="1"/>
    <xf numFmtId="164" fontId="8" fillId="8" borderId="11" xfId="1" applyNumberFormat="1" applyFont="1" applyFill="1" applyBorder="1" applyAlignment="1">
      <alignment horizontal="right" indent="1"/>
    </xf>
    <xf numFmtId="164" fontId="8" fillId="8" borderId="20" xfId="1" applyNumberFormat="1" applyFont="1" applyFill="1" applyBorder="1" applyAlignment="1"/>
    <xf numFmtId="164" fontId="8" fillId="8" borderId="11" xfId="1" applyNumberFormat="1" applyFont="1" applyFill="1" applyBorder="1" applyAlignment="1"/>
    <xf numFmtId="164" fontId="8" fillId="8" borderId="16" xfId="0" applyNumberFormat="1" applyFont="1" applyFill="1" applyBorder="1"/>
    <xf numFmtId="164" fontId="8" fillId="8" borderId="0" xfId="0" applyNumberFormat="1" applyFont="1" applyFill="1"/>
    <xf numFmtId="164" fontId="8" fillId="8" borderId="25" xfId="1" applyNumberFormat="1" applyFont="1" applyFill="1" applyBorder="1" applyAlignment="1" applyProtection="1">
      <protection hidden="1"/>
    </xf>
    <xf numFmtId="43" fontId="8" fillId="8" borderId="11" xfId="1" applyFont="1" applyFill="1" applyBorder="1" applyAlignment="1"/>
    <xf numFmtId="0" fontId="42" fillId="8" borderId="0" xfId="0" applyFont="1" applyFill="1"/>
    <xf numFmtId="43" fontId="8" fillId="8" borderId="36" xfId="0" applyNumberFormat="1" applyFont="1" applyFill="1" applyBorder="1"/>
    <xf numFmtId="0" fontId="8" fillId="8" borderId="0" xfId="90" applyFont="1" applyFill="1"/>
    <xf numFmtId="0" fontId="42" fillId="8" borderId="0" xfId="90" applyFont="1" applyFill="1" applyAlignment="1">
      <alignment horizontal="center"/>
    </xf>
    <xf numFmtId="0" fontId="40" fillId="8" borderId="0" xfId="90" applyFont="1" applyFill="1" applyAlignment="1">
      <alignment horizontal="center"/>
    </xf>
    <xf numFmtId="180" fontId="40" fillId="8" borderId="19" xfId="90" applyNumberFormat="1" applyFont="1" applyFill="1" applyBorder="1" applyAlignment="1">
      <alignment horizontal="center"/>
    </xf>
    <xf numFmtId="0" fontId="40" fillId="8" borderId="0" xfId="90" applyFont="1" applyFill="1"/>
    <xf numFmtId="180" fontId="40" fillId="8" borderId="0" xfId="90" applyNumberFormat="1" applyFont="1" applyFill="1" applyAlignment="1">
      <alignment horizontal="center"/>
    </xf>
    <xf numFmtId="43" fontId="8" fillId="8" borderId="0" xfId="1" applyFont="1" applyFill="1" applyBorder="1" applyAlignment="1">
      <alignment vertical="center"/>
    </xf>
    <xf numFmtId="2" fontId="8" fillId="8" borderId="0" xfId="90" applyNumberFormat="1" applyFont="1" applyFill="1"/>
    <xf numFmtId="43" fontId="8" fillId="8" borderId="20" xfId="1" applyFont="1" applyFill="1" applyBorder="1" applyAlignment="1"/>
    <xf numFmtId="0" fontId="8" fillId="8" borderId="0" xfId="90" applyFont="1" applyFill="1" applyAlignment="1">
      <alignment horizontal="left"/>
    </xf>
    <xf numFmtId="0" fontId="8" fillId="8" borderId="0" xfId="90" applyFont="1" applyFill="1" applyAlignment="1">
      <alignment horizontal="right"/>
    </xf>
    <xf numFmtId="2" fontId="8" fillId="8" borderId="0" xfId="0" applyNumberFormat="1" applyFont="1" applyFill="1"/>
    <xf numFmtId="43" fontId="8" fillId="8" borderId="21" xfId="1" applyFont="1" applyFill="1" applyBorder="1" applyAlignment="1">
      <alignment horizontal="center"/>
    </xf>
    <xf numFmtId="4" fontId="8" fillId="8" borderId="22" xfId="90" applyNumberFormat="1" applyFont="1" applyFill="1" applyBorder="1" applyAlignment="1">
      <alignment horizontal="center"/>
    </xf>
    <xf numFmtId="4" fontId="8" fillId="8" borderId="0" xfId="90" applyNumberFormat="1" applyFont="1" applyFill="1"/>
    <xf numFmtId="0" fontId="8" fillId="8" borderId="0" xfId="90" applyFont="1" applyFill="1" applyAlignment="1">
      <alignment horizontal="center" vertical="center"/>
    </xf>
    <xf numFmtId="0" fontId="8" fillId="8" borderId="22" xfId="90" applyFont="1" applyFill="1" applyBorder="1"/>
    <xf numFmtId="43" fontId="8" fillId="8" borderId="11" xfId="1" applyFont="1" applyFill="1" applyBorder="1"/>
    <xf numFmtId="43" fontId="8" fillId="8" borderId="15" xfId="1" applyFont="1" applyFill="1" applyBorder="1" applyAlignment="1">
      <alignment vertical="center"/>
    </xf>
    <xf numFmtId="43" fontId="40" fillId="8" borderId="24" xfId="1" applyFont="1" applyFill="1" applyBorder="1" applyAlignment="1">
      <alignment vertical="center"/>
    </xf>
    <xf numFmtId="180" fontId="8" fillId="8" borderId="19" xfId="0" applyNumberFormat="1" applyFont="1" applyFill="1" applyBorder="1"/>
    <xf numFmtId="43" fontId="8" fillId="8" borderId="0" xfId="1" applyFont="1" applyFill="1" applyBorder="1" applyAlignment="1"/>
    <xf numFmtId="4" fontId="8" fillId="8" borderId="11" xfId="1" applyNumberFormat="1" applyFont="1" applyFill="1" applyBorder="1" applyAlignment="1"/>
    <xf numFmtId="43" fontId="8" fillId="8" borderId="0" xfId="0" applyNumberFormat="1" applyFont="1" applyFill="1" applyAlignment="1">
      <alignment horizontal="center"/>
    </xf>
    <xf numFmtId="4" fontId="8" fillId="8" borderId="11" xfId="1" applyNumberFormat="1" applyFont="1" applyFill="1" applyBorder="1" applyAlignment="1">
      <alignment horizontal="right" indent="1"/>
    </xf>
    <xf numFmtId="0" fontId="8" fillId="8" borderId="19" xfId="0" applyFont="1" applyFill="1" applyBorder="1"/>
    <xf numFmtId="0" fontId="8" fillId="8" borderId="8" xfId="0" applyFont="1" applyFill="1" applyBorder="1"/>
    <xf numFmtId="0" fontId="40" fillId="8" borderId="0" xfId="0" applyFont="1" applyFill="1" applyAlignment="1">
      <alignment horizontal="right"/>
    </xf>
    <xf numFmtId="178" fontId="8" fillId="8" borderId="0" xfId="0" applyNumberFormat="1" applyFont="1" applyFill="1" applyAlignment="1">
      <alignment horizontal="right" vertical="center"/>
    </xf>
    <xf numFmtId="0" fontId="8" fillId="8" borderId="9" xfId="105" applyFont="1" applyFill="1" applyBorder="1"/>
    <xf numFmtId="178" fontId="8" fillId="8" borderId="0" xfId="0" applyNumberFormat="1" applyFont="1" applyFill="1" applyAlignment="1">
      <alignment horizontal="center" vertical="center"/>
    </xf>
    <xf numFmtId="0" fontId="8" fillId="8" borderId="9" xfId="0" applyFont="1" applyFill="1" applyBorder="1"/>
    <xf numFmtId="4" fontId="8" fillId="8" borderId="9" xfId="0" applyNumberFormat="1" applyFont="1" applyFill="1" applyBorder="1" applyAlignment="1">
      <alignment horizontal="center"/>
    </xf>
    <xf numFmtId="0" fontId="8" fillId="8" borderId="10" xfId="0" applyFont="1" applyFill="1" applyBorder="1"/>
    <xf numFmtId="0" fontId="8" fillId="8" borderId="11" xfId="0" applyFont="1" applyFill="1" applyBorder="1"/>
    <xf numFmtId="4" fontId="8" fillId="8" borderId="11" xfId="0" applyNumberFormat="1" applyFont="1" applyFill="1" applyBorder="1" applyAlignment="1">
      <alignment horizontal="center"/>
    </xf>
    <xf numFmtId="0" fontId="39" fillId="0" borderId="0" xfId="0" applyFont="1" applyAlignment="1">
      <alignment horizontal="center"/>
    </xf>
    <xf numFmtId="0" fontId="8" fillId="0" borderId="0" xfId="90" applyFont="1"/>
    <xf numFmtId="0" fontId="42" fillId="0" borderId="0" xfId="90" applyFont="1"/>
    <xf numFmtId="0" fontId="42" fillId="0" borderId="0" xfId="90" applyFont="1" applyAlignment="1">
      <alignment horizontal="center"/>
    </xf>
    <xf numFmtId="0" fontId="40" fillId="0" borderId="0" xfId="90" applyFont="1" applyAlignment="1">
      <alignment horizontal="center"/>
    </xf>
    <xf numFmtId="180" fontId="40" fillId="0" borderId="0" xfId="90" applyNumberFormat="1" applyFont="1" applyAlignment="1">
      <alignment horizontal="center"/>
    </xf>
    <xf numFmtId="0" fontId="40" fillId="0" borderId="0" xfId="90" applyFont="1"/>
    <xf numFmtId="0" fontId="43" fillId="0" borderId="0" xfId="0" applyFont="1"/>
    <xf numFmtId="2" fontId="8" fillId="6" borderId="19" xfId="90" applyNumberFormat="1" applyFont="1" applyFill="1" applyBorder="1" applyAlignment="1">
      <alignment horizontal="center"/>
    </xf>
    <xf numFmtId="0" fontId="8" fillId="0" borderId="0" xfId="90" applyFont="1" applyAlignment="1">
      <alignment horizontal="center"/>
    </xf>
    <xf numFmtId="43" fontId="8" fillId="0" borderId="0" xfId="1" applyFont="1" applyBorder="1" applyAlignment="1">
      <alignment vertical="center"/>
    </xf>
    <xf numFmtId="0" fontId="8" fillId="0" borderId="0" xfId="90" applyFont="1" applyAlignment="1">
      <alignment horizontal="left"/>
    </xf>
    <xf numFmtId="0" fontId="8" fillId="0" borderId="22" xfId="90" applyFont="1" applyBorder="1"/>
    <xf numFmtId="43" fontId="8" fillId="0" borderId="11" xfId="1" applyFont="1" applyBorder="1"/>
    <xf numFmtId="0" fontId="8" fillId="0" borderId="0" xfId="90" applyFont="1" applyAlignment="1">
      <alignment horizontal="right"/>
    </xf>
    <xf numFmtId="43" fontId="40" fillId="0" borderId="24" xfId="1" applyFont="1" applyBorder="1" applyAlignment="1">
      <alignment vertical="center"/>
    </xf>
    <xf numFmtId="43" fontId="40" fillId="0" borderId="0" xfId="1" applyFont="1" applyBorder="1" applyAlignment="1">
      <alignment vertical="center"/>
    </xf>
    <xf numFmtId="0" fontId="40" fillId="0" borderId="0" xfId="1" applyNumberFormat="1" applyFont="1" applyFill="1" applyAlignment="1">
      <alignment horizontal="center"/>
    </xf>
    <xf numFmtId="0" fontId="40" fillId="0" borderId="11" xfId="0" applyFont="1" applyBorder="1"/>
    <xf numFmtId="0" fontId="8" fillId="0" borderId="11" xfId="0" applyFont="1" applyBorder="1"/>
    <xf numFmtId="4" fontId="8" fillId="0" borderId="0" xfId="0" applyNumberFormat="1" applyFont="1"/>
    <xf numFmtId="43" fontId="8" fillId="0" borderId="0" xfId="1" applyFont="1" applyBorder="1" applyAlignment="1">
      <alignment horizontal="right" vertical="center" indent="1"/>
    </xf>
    <xf numFmtId="0" fontId="42" fillId="0" borderId="0" xfId="0" applyFont="1"/>
    <xf numFmtId="2" fontId="8" fillId="0" borderId="0" xfId="0" applyNumberFormat="1" applyFont="1"/>
    <xf numFmtId="43" fontId="39" fillId="0" borderId="11" xfId="1" applyFont="1" applyBorder="1" applyAlignment="1">
      <alignment horizontal="right" indent="1"/>
    </xf>
    <xf numFmtId="0" fontId="8" fillId="0" borderId="0" xfId="0" applyFont="1" applyAlignment="1">
      <alignment horizontal="right"/>
    </xf>
    <xf numFmtId="43" fontId="44" fillId="7" borderId="16" xfId="0" applyNumberFormat="1" applyFont="1" applyFill="1" applyBorder="1"/>
    <xf numFmtId="0" fontId="45" fillId="0" borderId="0" xfId="0" applyFont="1"/>
    <xf numFmtId="0" fontId="8" fillId="0" borderId="0" xfId="0" applyFont="1" applyAlignment="1">
      <alignment horizontal="left"/>
    </xf>
    <xf numFmtId="2" fontId="8" fillId="0" borderId="11" xfId="0" applyNumberFormat="1" applyFont="1" applyBorder="1"/>
    <xf numFmtId="0" fontId="40" fillId="0" borderId="0" xfId="0" applyFont="1" applyAlignment="1">
      <alignment horizontal="center"/>
    </xf>
    <xf numFmtId="43" fontId="39" fillId="0" borderId="0" xfId="1" applyFont="1" applyBorder="1" applyAlignment="1">
      <alignment horizontal="center"/>
    </xf>
    <xf numFmtId="182" fontId="8" fillId="0" borderId="0" xfId="1" applyNumberFormat="1" applyFont="1" applyBorder="1"/>
    <xf numFmtId="43" fontId="44" fillId="0" borderId="0" xfId="1" applyFont="1" applyBorder="1" applyAlignment="1">
      <alignment horizontal="center"/>
    </xf>
    <xf numFmtId="164" fontId="8" fillId="0" borderId="0" xfId="1" applyNumberFormat="1" applyFont="1" applyBorder="1"/>
    <xf numFmtId="43" fontId="8" fillId="0" borderId="0" xfId="1" applyFont="1" applyFill="1" applyBorder="1" applyAlignment="1"/>
    <xf numFmtId="164" fontId="8" fillId="0" borderId="0" xfId="1" applyNumberFormat="1" applyFont="1" applyBorder="1" applyAlignment="1"/>
    <xf numFmtId="43" fontId="46" fillId="0" borderId="0" xfId="1" applyFont="1" applyBorder="1" applyAlignment="1">
      <alignment horizontal="center"/>
    </xf>
    <xf numFmtId="43" fontId="39" fillId="0" borderId="0" xfId="1" applyFont="1" applyBorder="1" applyAlignment="1">
      <alignment horizontal="right" indent="1"/>
    </xf>
    <xf numFmtId="43" fontId="8" fillId="0" borderId="0" xfId="1" applyFont="1" applyBorder="1"/>
    <xf numFmtId="43" fontId="8" fillId="0" borderId="0" xfId="1" applyFont="1" applyBorder="1" applyAlignment="1">
      <alignment horizontal="center"/>
    </xf>
    <xf numFmtId="43" fontId="8" fillId="0" borderId="0" xfId="1" applyFont="1" applyBorder="1" applyAlignment="1">
      <alignment horizontal="right" indent="1"/>
    </xf>
    <xf numFmtId="0" fontId="44" fillId="0" borderId="0" xfId="0" applyFont="1" applyAlignment="1">
      <alignment horizontal="center"/>
    </xf>
    <xf numFmtId="164" fontId="8" fillId="6" borderId="0" xfId="1" applyNumberFormat="1" applyFont="1" applyFill="1" applyBorder="1" applyAlignment="1"/>
    <xf numFmtId="0" fontId="39" fillId="0" borderId="0" xfId="0" applyFont="1" applyAlignment="1">
      <alignment horizontal="right"/>
    </xf>
    <xf numFmtId="43" fontId="44" fillId="7" borderId="24" xfId="0" applyNumberFormat="1" applyFont="1" applyFill="1" applyBorder="1"/>
    <xf numFmtId="0" fontId="8" fillId="0" borderId="13" xfId="90" applyFont="1" applyBorder="1" applyAlignment="1">
      <alignment horizontal="center"/>
    </xf>
    <xf numFmtId="0" fontId="8" fillId="0" borderId="1" xfId="90" applyFont="1" applyBorder="1" applyAlignment="1">
      <alignment horizontal="center"/>
    </xf>
    <xf numFmtId="0" fontId="8" fillId="0" borderId="8" xfId="90" applyFont="1" applyBorder="1"/>
    <xf numFmtId="164" fontId="8" fillId="0" borderId="23" xfId="90" applyNumberFormat="1" applyFont="1" applyBorder="1" applyAlignment="1">
      <alignment horizontal="center"/>
    </xf>
    <xf numFmtId="164" fontId="8" fillId="0" borderId="13" xfId="1" applyNumberFormat="1" applyFont="1" applyBorder="1" applyAlignment="1">
      <alignment horizontal="center"/>
    </xf>
    <xf numFmtId="164" fontId="8" fillId="0" borderId="1" xfId="1" applyNumberFormat="1" applyFont="1" applyBorder="1" applyAlignment="1"/>
    <xf numFmtId="2" fontId="8" fillId="0" borderId="0" xfId="90" applyNumberFormat="1" applyFont="1" applyAlignment="1">
      <alignment horizontal="center"/>
    </xf>
    <xf numFmtId="164" fontId="8" fillId="0" borderId="21" xfId="90" applyNumberFormat="1" applyFont="1" applyBorder="1" applyAlignment="1">
      <alignment horizontal="center"/>
    </xf>
    <xf numFmtId="0" fontId="8" fillId="6" borderId="1" xfId="90" applyFont="1" applyFill="1" applyBorder="1" applyAlignment="1">
      <alignment horizontal="center"/>
    </xf>
    <xf numFmtId="164" fontId="39" fillId="0" borderId="0" xfId="0" applyNumberFormat="1" applyFont="1"/>
    <xf numFmtId="164" fontId="8" fillId="0" borderId="1" xfId="1" applyNumberFormat="1" applyFont="1" applyBorder="1" applyAlignment="1">
      <alignment horizontal="center"/>
    </xf>
    <xf numFmtId="164" fontId="8" fillId="0" borderId="0" xfId="1" applyNumberFormat="1" applyFont="1" applyBorder="1" applyAlignment="1">
      <alignment horizontal="center"/>
    </xf>
    <xf numFmtId="0" fontId="8" fillId="0" borderId="10" xfId="90" applyFont="1" applyBorder="1"/>
    <xf numFmtId="0" fontId="8" fillId="0" borderId="11" xfId="90" applyFont="1" applyBorder="1"/>
    <xf numFmtId="0" fontId="8" fillId="0" borderId="11" xfId="90" applyFont="1" applyBorder="1" applyAlignment="1">
      <alignment horizontal="center"/>
    </xf>
    <xf numFmtId="0" fontId="8" fillId="6" borderId="13" xfId="90" applyFont="1" applyFill="1" applyBorder="1" applyAlignment="1">
      <alignment horizontal="center"/>
    </xf>
    <xf numFmtId="43" fontId="8" fillId="6" borderId="19" xfId="1" applyFont="1" applyFill="1" applyBorder="1" applyAlignment="1">
      <alignment horizontal="center"/>
    </xf>
    <xf numFmtId="2" fontId="8" fillId="0" borderId="0" xfId="90" applyNumberFormat="1" applyFont="1"/>
    <xf numFmtId="43" fontId="8" fillId="0" borderId="15" xfId="1" applyFont="1" applyBorder="1" applyAlignment="1">
      <alignment vertical="center"/>
    </xf>
    <xf numFmtId="0" fontId="8" fillId="8" borderId="29" xfId="104" applyFont="1" applyFill="1" applyBorder="1" applyAlignment="1">
      <alignment horizontal="center" vertical="center"/>
    </xf>
    <xf numFmtId="0" fontId="8" fillId="8" borderId="21" xfId="0" applyFont="1" applyFill="1" applyBorder="1" applyAlignment="1">
      <alignment horizontal="left" vertical="center"/>
    </xf>
    <xf numFmtId="0" fontId="40" fillId="8" borderId="21" xfId="0" applyFont="1" applyFill="1" applyBorder="1" applyAlignment="1">
      <alignment horizontal="center" vertical="center"/>
    </xf>
    <xf numFmtId="0" fontId="40" fillId="8" borderId="30" xfId="0" applyFont="1" applyFill="1" applyBorder="1" applyAlignment="1">
      <alignment horizontal="center" vertical="center"/>
    </xf>
    <xf numFmtId="178" fontId="8" fillId="8" borderId="29" xfId="0" applyNumberFormat="1" applyFont="1" applyFill="1" applyBorder="1" applyAlignment="1">
      <alignment horizontal="center" vertical="center"/>
    </xf>
    <xf numFmtId="4" fontId="8" fillId="8" borderId="31" xfId="104" applyNumberFormat="1" applyFont="1" applyFill="1" applyBorder="1" applyAlignment="1">
      <alignment horizontal="center" vertical="center"/>
    </xf>
    <xf numFmtId="0" fontId="8" fillId="8" borderId="29" xfId="0" applyFont="1" applyFill="1" applyBorder="1" applyAlignment="1">
      <alignment horizontal="center" vertical="center"/>
    </xf>
    <xf numFmtId="0" fontId="44" fillId="8" borderId="0" xfId="0" applyFont="1" applyFill="1"/>
    <xf numFmtId="0" fontId="8" fillId="0" borderId="0" xfId="0" applyFont="1" applyAlignment="1">
      <alignment horizontal="center"/>
    </xf>
    <xf numFmtId="4" fontId="8" fillId="8" borderId="31" xfId="104" applyNumberFormat="1" applyFont="1" applyFill="1" applyBorder="1" applyAlignment="1">
      <alignment horizontal="center" vertical="center"/>
    </xf>
    <xf numFmtId="43" fontId="8" fillId="6" borderId="19" xfId="1" applyFont="1" applyFill="1" applyBorder="1" applyAlignment="1">
      <alignment horizontal="center"/>
    </xf>
    <xf numFmtId="43" fontId="8" fillId="8" borderId="29" xfId="1" applyFont="1" applyFill="1" applyBorder="1" applyAlignment="1">
      <alignment horizontal="center" vertical="center"/>
    </xf>
    <xf numFmtId="43" fontId="8" fillId="8" borderId="0" xfId="1" applyFont="1" applyFill="1" applyAlignment="1">
      <alignment horizontal="center"/>
    </xf>
    <xf numFmtId="4" fontId="8" fillId="8" borderId="31" xfId="104" applyNumberFormat="1" applyFont="1" applyFill="1" applyBorder="1" applyAlignment="1">
      <alignment horizontal="center" vertical="center"/>
    </xf>
    <xf numFmtId="43" fontId="8" fillId="6" borderId="19" xfId="1" applyFont="1" applyFill="1" applyBorder="1" applyAlignment="1">
      <alignment horizontal="center"/>
    </xf>
    <xf numFmtId="0" fontId="8" fillId="8" borderId="0" xfId="0" applyFont="1" applyFill="1" applyAlignment="1"/>
    <xf numFmtId="164" fontId="8" fillId="0" borderId="13" xfId="1" applyNumberFormat="1" applyFont="1" applyFill="1" applyBorder="1" applyAlignment="1">
      <alignment horizontal="center"/>
    </xf>
    <xf numFmtId="164" fontId="8" fillId="0" borderId="1" xfId="1" applyNumberFormat="1" applyFont="1" applyFill="1" applyBorder="1" applyAlignment="1"/>
    <xf numFmtId="4" fontId="8" fillId="8" borderId="31" xfId="104" applyNumberFormat="1" applyFont="1" applyFill="1" applyBorder="1" applyAlignment="1">
      <alignment horizontal="center" vertical="center"/>
    </xf>
    <xf numFmtId="43" fontId="8" fillId="8" borderId="0" xfId="1" applyNumberFormat="1" applyFont="1" applyFill="1"/>
    <xf numFmtId="0" fontId="8" fillId="8" borderId="12" xfId="0" applyFont="1" applyFill="1" applyBorder="1"/>
    <xf numFmtId="0" fontId="8" fillId="8" borderId="0" xfId="0" applyFont="1" applyFill="1" applyAlignment="1">
      <alignment horizontal="center"/>
    </xf>
    <xf numFmtId="0" fontId="8" fillId="8" borderId="5" xfId="0" applyFont="1" applyFill="1" applyBorder="1" applyAlignment="1">
      <alignment horizontal="center"/>
    </xf>
    <xf numFmtId="0" fontId="8" fillId="8" borderId="6" xfId="0" applyFont="1" applyFill="1" applyBorder="1" applyAlignment="1">
      <alignment horizontal="center"/>
    </xf>
    <xf numFmtId="0" fontId="8" fillId="8" borderId="7" xfId="0" applyFont="1" applyFill="1" applyBorder="1" applyAlignment="1">
      <alignment horizontal="center"/>
    </xf>
    <xf numFmtId="0" fontId="8" fillId="8" borderId="0" xfId="0" applyFont="1" applyFill="1" applyAlignment="1">
      <alignment horizontal="left" vertical="top" wrapText="1"/>
    </xf>
    <xf numFmtId="4" fontId="8" fillId="8" borderId="31" xfId="104" applyNumberFormat="1" applyFont="1" applyFill="1" applyBorder="1" applyAlignment="1">
      <alignment horizontal="center" vertical="center"/>
    </xf>
    <xf numFmtId="4" fontId="8" fillId="8" borderId="30" xfId="104" applyNumberFormat="1" applyFont="1" applyFill="1" applyBorder="1" applyAlignment="1">
      <alignment horizontal="center" vertical="center"/>
    </xf>
    <xf numFmtId="4" fontId="8" fillId="6" borderId="19" xfId="90" applyNumberFormat="1" applyFont="1" applyFill="1" applyBorder="1" applyAlignment="1">
      <alignment horizontal="center"/>
    </xf>
    <xf numFmtId="0" fontId="40" fillId="8" borderId="2" xfId="104" applyFont="1" applyFill="1" applyBorder="1" applyAlignment="1">
      <alignment horizontal="center" vertical="center"/>
    </xf>
    <xf numFmtId="0" fontId="40" fillId="8" borderId="4" xfId="104" applyFont="1" applyFill="1" applyBorder="1" applyAlignment="1">
      <alignment horizontal="center" vertical="center"/>
    </xf>
    <xf numFmtId="0" fontId="40" fillId="8" borderId="6" xfId="0" applyFont="1" applyFill="1" applyBorder="1" applyAlignment="1">
      <alignment horizontal="center" vertical="center"/>
    </xf>
    <xf numFmtId="0" fontId="40" fillId="8" borderId="7" xfId="0" applyFont="1" applyFill="1" applyBorder="1" applyAlignment="1">
      <alignment horizontal="center" vertical="center"/>
    </xf>
    <xf numFmtId="0" fontId="40" fillId="8" borderId="11" xfId="0" applyFont="1" applyFill="1" applyBorder="1" applyAlignment="1">
      <alignment horizontal="center" vertical="center"/>
    </xf>
    <xf numFmtId="0" fontId="40" fillId="8" borderId="12" xfId="0" applyFont="1" applyFill="1" applyBorder="1" applyAlignment="1">
      <alignment horizontal="center" vertical="center"/>
    </xf>
    <xf numFmtId="43" fontId="40" fillId="8" borderId="2" xfId="1" applyFont="1" applyFill="1" applyBorder="1" applyAlignment="1">
      <alignment horizontal="center" vertical="center"/>
    </xf>
    <xf numFmtId="43" fontId="40" fillId="8" borderId="4" xfId="1" applyFont="1" applyFill="1" applyBorder="1" applyAlignment="1">
      <alignment horizontal="center" vertical="center"/>
    </xf>
    <xf numFmtId="4" fontId="40" fillId="8" borderId="5" xfId="104" applyNumberFormat="1" applyFont="1" applyFill="1" applyBorder="1" applyAlignment="1">
      <alignment horizontal="center" vertical="center"/>
    </xf>
    <xf numFmtId="4" fontId="40" fillId="8" borderId="7" xfId="104" applyNumberFormat="1" applyFont="1" applyFill="1" applyBorder="1" applyAlignment="1">
      <alignment horizontal="center" vertical="center"/>
    </xf>
    <xf numFmtId="4" fontId="40" fillId="8" borderId="10" xfId="104" applyNumberFormat="1" applyFont="1" applyFill="1" applyBorder="1" applyAlignment="1">
      <alignment horizontal="center" vertical="center"/>
    </xf>
    <xf numFmtId="4" fontId="40" fillId="8" borderId="12" xfId="104" applyNumberFormat="1" applyFont="1" applyFill="1" applyBorder="1" applyAlignment="1">
      <alignment horizontal="center" vertical="center"/>
    </xf>
    <xf numFmtId="0" fontId="40" fillId="8" borderId="2" xfId="0" applyFont="1" applyFill="1" applyBorder="1" applyAlignment="1">
      <alignment horizontal="center" vertical="center"/>
    </xf>
    <xf numFmtId="0" fontId="40" fillId="8" borderId="4" xfId="0" applyFont="1" applyFill="1" applyBorder="1" applyAlignment="1">
      <alignment horizontal="center" vertical="center"/>
    </xf>
    <xf numFmtId="4" fontId="8" fillId="8" borderId="11" xfId="0" applyNumberFormat="1" applyFont="1" applyFill="1" applyBorder="1" applyAlignment="1">
      <alignment horizontal="left"/>
    </xf>
    <xf numFmtId="4" fontId="8" fillId="8" borderId="12" xfId="0" applyNumberFormat="1" applyFont="1" applyFill="1" applyBorder="1" applyAlignment="1">
      <alignment horizontal="left"/>
    </xf>
    <xf numFmtId="4" fontId="8" fillId="8" borderId="0" xfId="0" applyNumberFormat="1" applyFont="1" applyFill="1" applyAlignment="1">
      <alignment horizontal="center"/>
    </xf>
    <xf numFmtId="178" fontId="8" fillId="8" borderId="17" xfId="0" applyNumberFormat="1" applyFont="1" applyFill="1" applyBorder="1" applyAlignment="1">
      <alignment horizontal="center" vertical="center"/>
    </xf>
    <xf numFmtId="178" fontId="8" fillId="8" borderId="14" xfId="0" applyNumberFormat="1" applyFont="1" applyFill="1" applyBorder="1" applyAlignment="1">
      <alignment horizontal="center" vertical="center"/>
    </xf>
    <xf numFmtId="178" fontId="8" fillId="8" borderId="18" xfId="0" applyNumberFormat="1" applyFont="1" applyFill="1" applyBorder="1" applyAlignment="1">
      <alignment horizontal="center" vertical="center"/>
    </xf>
    <xf numFmtId="4" fontId="8" fillId="8" borderId="0" xfId="0" applyNumberFormat="1" applyFont="1" applyFill="1" applyAlignment="1">
      <alignment horizontal="left"/>
    </xf>
    <xf numFmtId="4" fontId="8" fillId="8" borderId="9" xfId="0" applyNumberFormat="1" applyFont="1" applyFill="1" applyBorder="1" applyAlignment="1">
      <alignment horizontal="left"/>
    </xf>
    <xf numFmtId="4" fontId="8" fillId="8" borderId="11" xfId="0" applyNumberFormat="1" applyFont="1" applyFill="1" applyBorder="1" applyAlignment="1">
      <alignment horizontal="center"/>
    </xf>
    <xf numFmtId="0" fontId="8" fillId="8" borderId="11" xfId="0" applyFont="1" applyFill="1" applyBorder="1" applyAlignment="1">
      <alignment horizontal="center"/>
    </xf>
    <xf numFmtId="4" fontId="8" fillId="0" borderId="31" xfId="104" applyNumberFormat="1" applyFont="1" applyFill="1" applyBorder="1" applyAlignment="1">
      <alignment horizontal="center" vertical="center"/>
    </xf>
    <xf numFmtId="4" fontId="8" fillId="0" borderId="30" xfId="104" applyNumberFormat="1" applyFont="1" applyFill="1" applyBorder="1" applyAlignment="1">
      <alignment horizontal="center" vertical="center"/>
    </xf>
    <xf numFmtId="4" fontId="8" fillId="0" borderId="21" xfId="90" applyNumberFormat="1" applyFont="1" applyBorder="1" applyAlignment="1">
      <alignment horizontal="center"/>
    </xf>
    <xf numFmtId="4" fontId="8" fillId="8" borderId="17" xfId="0" applyNumberFormat="1" applyFont="1" applyFill="1" applyBorder="1" applyAlignment="1">
      <alignment horizontal="center" vertical="center"/>
    </xf>
    <xf numFmtId="4" fontId="8" fillId="8" borderId="14" xfId="0" applyNumberFormat="1" applyFont="1" applyFill="1" applyBorder="1" applyAlignment="1">
      <alignment horizontal="center" vertical="center"/>
    </xf>
    <xf numFmtId="4" fontId="8" fillId="8" borderId="18" xfId="0" applyNumberFormat="1" applyFont="1" applyFill="1" applyBorder="1" applyAlignment="1">
      <alignment horizontal="center" vertical="center"/>
    </xf>
    <xf numFmtId="4" fontId="8" fillId="10" borderId="19" xfId="90" applyNumberFormat="1" applyFont="1" applyFill="1" applyBorder="1" applyAlignment="1">
      <alignment horizontal="center"/>
    </xf>
    <xf numFmtId="2" fontId="8" fillId="10" borderId="19" xfId="90" applyNumberFormat="1" applyFont="1" applyFill="1" applyBorder="1" applyAlignment="1">
      <alignment horizontal="center"/>
    </xf>
    <xf numFmtId="0" fontId="8" fillId="8" borderId="0" xfId="90" applyFont="1" applyFill="1" applyAlignment="1">
      <alignment horizontal="center"/>
    </xf>
    <xf numFmtId="4" fontId="8" fillId="10" borderId="21" xfId="90" applyNumberFormat="1" applyFont="1" applyFill="1" applyBorder="1" applyAlignment="1">
      <alignment horizontal="center"/>
    </xf>
    <xf numFmtId="43" fontId="8" fillId="10" borderId="21" xfId="1" applyFont="1" applyFill="1" applyBorder="1" applyAlignment="1">
      <alignment horizontal="center"/>
    </xf>
    <xf numFmtId="43" fontId="8" fillId="11" borderId="19" xfId="1" applyFont="1" applyFill="1" applyBorder="1" applyAlignment="1">
      <alignment horizontal="center"/>
    </xf>
    <xf numFmtId="43" fontId="8" fillId="10" borderId="19" xfId="1" applyFont="1" applyFill="1" applyBorder="1" applyAlignment="1">
      <alignment horizontal="center"/>
    </xf>
    <xf numFmtId="43" fontId="8" fillId="8" borderId="19" xfId="1" applyFont="1" applyFill="1" applyBorder="1" applyAlignment="1">
      <alignment horizontal="center"/>
    </xf>
    <xf numFmtId="4" fontId="8" fillId="9" borderId="19" xfId="90" applyNumberFormat="1" applyFont="1" applyFill="1" applyBorder="1" applyAlignment="1">
      <alignment horizontal="center"/>
    </xf>
    <xf numFmtId="4" fontId="8" fillId="8" borderId="19" xfId="90" applyNumberFormat="1" applyFont="1" applyFill="1" applyBorder="1" applyAlignment="1">
      <alignment horizontal="center"/>
    </xf>
    <xf numFmtId="43" fontId="8" fillId="8" borderId="0" xfId="1" applyFont="1" applyFill="1" applyBorder="1" applyAlignment="1">
      <alignment horizontal="right"/>
    </xf>
    <xf numFmtId="43" fontId="8" fillId="8" borderId="19" xfId="1" applyFont="1" applyFill="1" applyBorder="1" applyAlignment="1" applyProtection="1">
      <alignment horizontal="center"/>
      <protection hidden="1"/>
    </xf>
    <xf numFmtId="2" fontId="8" fillId="9" borderId="19" xfId="1" applyNumberFormat="1" applyFont="1" applyFill="1" applyBorder="1" applyAlignment="1">
      <alignment horizontal="center"/>
    </xf>
    <xf numFmtId="43" fontId="8" fillId="8" borderId="0" xfId="1" applyFont="1" applyFill="1" applyBorder="1" applyAlignment="1">
      <alignment horizontal="center" vertical="center"/>
    </xf>
    <xf numFmtId="43" fontId="8" fillId="8" borderId="0" xfId="0" applyNumberFormat="1" applyFont="1" applyFill="1" applyAlignment="1">
      <alignment horizontal="center"/>
    </xf>
    <xf numFmtId="43" fontId="8" fillId="9" borderId="19" xfId="1" applyFont="1" applyFill="1" applyBorder="1" applyAlignment="1">
      <alignment horizontal="right"/>
    </xf>
    <xf numFmtId="43" fontId="8" fillId="0" borderId="19" xfId="1" applyFont="1" applyFill="1" applyBorder="1" applyAlignment="1">
      <alignment horizontal="right"/>
    </xf>
    <xf numFmtId="0" fontId="39" fillId="0" borderId="4" xfId="0" applyFont="1" applyBorder="1" applyAlignment="1">
      <alignment horizontal="center"/>
    </xf>
    <xf numFmtId="0" fontId="39" fillId="0" borderId="4" xfId="1" applyNumberFormat="1" applyFont="1" applyBorder="1" applyAlignment="1">
      <alignment horizontal="center"/>
    </xf>
    <xf numFmtId="179" fontId="39" fillId="0" borderId="4" xfId="0" applyNumberFormat="1" applyFont="1" applyBorder="1" applyAlignment="1">
      <alignment horizontal="center"/>
    </xf>
    <xf numFmtId="2" fontId="39" fillId="0" borderId="4" xfId="0" applyNumberFormat="1" applyFont="1" applyBorder="1" applyAlignment="1">
      <alignment horizontal="center"/>
    </xf>
    <xf numFmtId="0" fontId="39" fillId="0" borderId="3" xfId="0" applyFont="1" applyBorder="1" applyAlignment="1">
      <alignment horizontal="center"/>
    </xf>
    <xf numFmtId="0" fontId="39" fillId="0" borderId="3" xfId="1" applyNumberFormat="1" applyFont="1" applyBorder="1" applyAlignment="1">
      <alignment horizontal="center"/>
    </xf>
    <xf numFmtId="179" fontId="39" fillId="0" borderId="3" xfId="0" applyNumberFormat="1" applyFont="1" applyBorder="1" applyAlignment="1">
      <alignment horizontal="center"/>
    </xf>
    <xf numFmtId="2" fontId="39" fillId="0" borderId="3" xfId="0" applyNumberFormat="1" applyFont="1" applyBorder="1" applyAlignment="1">
      <alignment horizontal="center"/>
    </xf>
    <xf numFmtId="0" fontId="39" fillId="0" borderId="2" xfId="0" applyFont="1" applyBorder="1" applyAlignment="1">
      <alignment horizontal="center"/>
    </xf>
    <xf numFmtId="0" fontId="8" fillId="0" borderId="0" xfId="0" applyFont="1" applyAlignment="1">
      <alignment horizontal="center"/>
    </xf>
    <xf numFmtId="2" fontId="8" fillId="0" borderId="0" xfId="0" applyNumberFormat="1" applyFont="1" applyAlignment="1">
      <alignment horizontal="center"/>
    </xf>
    <xf numFmtId="43" fontId="8" fillId="6" borderId="19" xfId="0" applyNumberFormat="1" applyFont="1" applyFill="1" applyBorder="1" applyAlignment="1">
      <alignment horizontal="center"/>
    </xf>
    <xf numFmtId="43" fontId="8" fillId="0" borderId="0" xfId="0" applyNumberFormat="1" applyFont="1" applyAlignment="1">
      <alignment horizontal="center"/>
    </xf>
    <xf numFmtId="43" fontId="8" fillId="6" borderId="21" xfId="0" applyNumberFormat="1" applyFont="1" applyFill="1" applyBorder="1" applyAlignment="1">
      <alignment horizontal="center"/>
    </xf>
    <xf numFmtId="43" fontId="8" fillId="6" borderId="0" xfId="1" applyFont="1" applyFill="1" applyBorder="1" applyAlignment="1">
      <alignment horizontal="center"/>
    </xf>
    <xf numFmtId="0" fontId="8" fillId="6" borderId="0" xfId="0" applyFont="1" applyFill="1" applyAlignment="1">
      <alignment horizontal="center"/>
    </xf>
    <xf numFmtId="2" fontId="8" fillId="6" borderId="11" xfId="1" applyNumberFormat="1" applyFont="1" applyFill="1" applyBorder="1" applyAlignment="1">
      <alignment horizontal="center"/>
    </xf>
    <xf numFmtId="2" fontId="8" fillId="6" borderId="6" xfId="0" applyNumberFormat="1" applyFont="1" applyFill="1" applyBorder="1" applyAlignment="1">
      <alignment horizontal="center"/>
    </xf>
    <xf numFmtId="0" fontId="8" fillId="6" borderId="6" xfId="0" applyFont="1" applyFill="1" applyBorder="1" applyAlignment="1">
      <alignment horizontal="center"/>
    </xf>
    <xf numFmtId="0" fontId="8" fillId="0" borderId="2" xfId="90" applyFont="1" applyBorder="1" applyAlignment="1">
      <alignment horizontal="center" vertical="center"/>
    </xf>
    <xf numFmtId="0" fontId="8" fillId="0" borderId="4" xfId="90" applyFont="1" applyBorder="1" applyAlignment="1">
      <alignment horizontal="center" vertical="center"/>
    </xf>
    <xf numFmtId="0" fontId="8" fillId="0" borderId="13" xfId="90" applyFont="1" applyBorder="1" applyAlignment="1">
      <alignment horizontal="center"/>
    </xf>
    <xf numFmtId="0" fontId="8" fillId="0" borderId="15" xfId="90" applyFont="1" applyBorder="1" applyAlignment="1">
      <alignment horizontal="center"/>
    </xf>
    <xf numFmtId="0" fontId="8" fillId="0" borderId="5" xfId="90" applyFont="1" applyBorder="1" applyAlignment="1">
      <alignment horizontal="center" vertical="center"/>
    </xf>
    <xf numFmtId="0" fontId="8" fillId="0" borderId="6" xfId="90" applyFont="1" applyBorder="1" applyAlignment="1">
      <alignment horizontal="center" vertical="center"/>
    </xf>
    <xf numFmtId="0" fontId="8" fillId="0" borderId="10" xfId="90" applyFont="1" applyBorder="1" applyAlignment="1">
      <alignment horizontal="center" vertical="center"/>
    </xf>
    <xf numFmtId="0" fontId="8" fillId="0" borderId="11" xfId="90" applyFont="1" applyBorder="1" applyAlignment="1">
      <alignment horizontal="center" vertical="center"/>
    </xf>
    <xf numFmtId="4" fontId="8" fillId="0" borderId="19" xfId="90" applyNumberFormat="1" applyFont="1" applyBorder="1" applyAlignment="1">
      <alignment horizontal="center"/>
    </xf>
    <xf numFmtId="4" fontId="8" fillId="6" borderId="21" xfId="90" applyNumberFormat="1" applyFont="1" applyFill="1" applyBorder="1" applyAlignment="1">
      <alignment horizontal="center"/>
    </xf>
    <xf numFmtId="183" fontId="8" fillId="6" borderId="19" xfId="90" applyNumberFormat="1" applyFont="1" applyFill="1" applyBorder="1" applyAlignment="1">
      <alignment horizontal="center"/>
    </xf>
    <xf numFmtId="4" fontId="8" fillId="0" borderId="22" xfId="90" applyNumberFormat="1" applyFont="1" applyBorder="1" applyAlignment="1">
      <alignment horizontal="center"/>
    </xf>
    <xf numFmtId="183" fontId="8" fillId="6" borderId="21" xfId="90" applyNumberFormat="1" applyFont="1" applyFill="1" applyBorder="1" applyAlignment="1">
      <alignment horizontal="center"/>
    </xf>
    <xf numFmtId="0" fontId="2" fillId="0" borderId="6" xfId="0" applyFont="1" applyBorder="1" applyAlignment="1">
      <alignment horizontal="right"/>
    </xf>
    <xf numFmtId="43" fontId="8" fillId="6" borderId="19" xfId="1" applyFont="1" applyFill="1" applyBorder="1" applyAlignment="1">
      <alignment horizontal="center"/>
    </xf>
    <xf numFmtId="2" fontId="8" fillId="0" borderId="19" xfId="90" applyNumberFormat="1" applyFont="1" applyBorder="1" applyAlignment="1">
      <alignment horizontal="center"/>
    </xf>
    <xf numFmtId="43" fontId="8" fillId="0" borderId="19" xfId="1" applyFont="1" applyBorder="1" applyAlignment="1">
      <alignment horizontal="center"/>
    </xf>
    <xf numFmtId="4" fontId="39" fillId="0" borderId="0" xfId="0" applyNumberFormat="1" applyFont="1" applyAlignment="1">
      <alignment horizontal="center"/>
    </xf>
    <xf numFmtId="0" fontId="39" fillId="0" borderId="0" xfId="0" applyFont="1" applyAlignment="1">
      <alignment horizontal="center"/>
    </xf>
    <xf numFmtId="178" fontId="8" fillId="0" borderId="17" xfId="0" applyNumberFormat="1" applyFont="1" applyBorder="1" applyAlignment="1">
      <alignment horizontal="center" vertical="center"/>
    </xf>
    <xf numFmtId="178" fontId="8" fillId="0" borderId="14" xfId="0" applyNumberFormat="1" applyFont="1" applyBorder="1" applyAlignment="1">
      <alignment horizontal="center" vertical="center"/>
    </xf>
    <xf numFmtId="178" fontId="8" fillId="0" borderId="18" xfId="0" applyNumberFormat="1" applyFont="1" applyBorder="1" applyAlignment="1">
      <alignment horizontal="center" vertical="center"/>
    </xf>
    <xf numFmtId="4" fontId="8" fillId="0" borderId="17" xfId="0" applyNumberFormat="1" applyFont="1" applyBorder="1" applyAlignment="1">
      <alignment horizontal="center" vertical="center"/>
    </xf>
    <xf numFmtId="4" fontId="8" fillId="0" borderId="14" xfId="0" applyNumberFormat="1" applyFont="1" applyBorder="1" applyAlignment="1">
      <alignment horizontal="center" vertical="center"/>
    </xf>
    <xf numFmtId="4" fontId="8" fillId="0" borderId="18" xfId="0" applyNumberFormat="1" applyFont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40" fillId="0" borderId="4" xfId="0" applyFont="1" applyBorder="1" applyAlignment="1">
      <alignment horizontal="center" vertical="center"/>
    </xf>
    <xf numFmtId="4" fontId="40" fillId="0" borderId="10" xfId="104" applyNumberFormat="1" applyFont="1" applyBorder="1" applyAlignment="1">
      <alignment horizontal="center" vertical="center"/>
    </xf>
    <xf numFmtId="4" fontId="40" fillId="0" borderId="12" xfId="104" applyNumberFormat="1" applyFont="1" applyBorder="1" applyAlignment="1">
      <alignment horizontal="center" vertical="center"/>
    </xf>
    <xf numFmtId="0" fontId="40" fillId="0" borderId="5" xfId="0" applyFont="1" applyBorder="1" applyAlignment="1">
      <alignment horizontal="center"/>
    </xf>
    <xf numFmtId="0" fontId="40" fillId="0" borderId="6" xfId="0" applyFont="1" applyBorder="1" applyAlignment="1">
      <alignment horizontal="center"/>
    </xf>
    <xf numFmtId="0" fontId="40" fillId="0" borderId="7" xfId="0" applyFont="1" applyBorder="1" applyAlignment="1">
      <alignment horizontal="center"/>
    </xf>
    <xf numFmtId="43" fontId="8" fillId="0" borderId="5" xfId="1" applyFont="1" applyBorder="1" applyAlignment="1">
      <alignment horizontal="center" vertical="center"/>
    </xf>
    <xf numFmtId="43" fontId="8" fillId="0" borderId="7" xfId="1" applyFont="1" applyBorder="1" applyAlignment="1">
      <alignment horizontal="center" vertical="center"/>
    </xf>
    <xf numFmtId="43" fontId="8" fillId="0" borderId="8" xfId="1" applyFont="1" applyBorder="1" applyAlignment="1">
      <alignment horizontal="center" vertical="center"/>
    </xf>
    <xf numFmtId="43" fontId="8" fillId="0" borderId="9" xfId="1" applyFont="1" applyBorder="1" applyAlignment="1">
      <alignment horizontal="center" vertical="center"/>
    </xf>
    <xf numFmtId="4" fontId="40" fillId="0" borderId="5" xfId="104" applyNumberFormat="1" applyFont="1" applyBorder="1" applyAlignment="1">
      <alignment horizontal="center" vertical="center"/>
    </xf>
    <xf numFmtId="4" fontId="40" fillId="0" borderId="7" xfId="104" applyNumberFormat="1" applyFont="1" applyBorder="1" applyAlignment="1">
      <alignment horizontal="center" vertical="center"/>
    </xf>
    <xf numFmtId="0" fontId="40" fillId="0" borderId="2" xfId="104" applyFont="1" applyBorder="1" applyAlignment="1">
      <alignment horizontal="center" vertical="center"/>
    </xf>
    <xf numFmtId="0" fontId="40" fillId="0" borderId="4" xfId="104" applyFont="1" applyBorder="1" applyAlignment="1">
      <alignment horizontal="center" vertical="center"/>
    </xf>
    <xf numFmtId="0" fontId="40" fillId="0" borderId="6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0" borderId="11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3" fontId="40" fillId="0" borderId="2" xfId="104" applyNumberFormat="1" applyFont="1" applyBorder="1" applyAlignment="1">
      <alignment horizontal="center" vertical="center"/>
    </xf>
    <xf numFmtId="3" fontId="40" fillId="0" borderId="4" xfId="104" applyNumberFormat="1" applyFont="1" applyBorder="1" applyAlignment="1">
      <alignment horizontal="center" vertical="center"/>
    </xf>
    <xf numFmtId="43" fontId="40" fillId="8" borderId="4" xfId="1" applyFont="1" applyFill="1" applyBorder="1"/>
    <xf numFmtId="0" fontId="8" fillId="8" borderId="32" xfId="104" applyFont="1" applyFill="1" applyBorder="1" applyAlignment="1">
      <alignment horizontal="center" vertical="center"/>
    </xf>
    <xf numFmtId="0" fontId="8" fillId="8" borderId="34" xfId="0" applyFont="1" applyFill="1" applyBorder="1" applyAlignment="1">
      <alignment horizontal="left" vertical="center"/>
    </xf>
    <xf numFmtId="0" fontId="40" fillId="8" borderId="34" xfId="0" applyFont="1" applyFill="1" applyBorder="1" applyAlignment="1">
      <alignment horizontal="center" vertical="center"/>
    </xf>
    <xf numFmtId="0" fontId="40" fillId="8" borderId="35" xfId="0" applyFont="1" applyFill="1" applyBorder="1" applyAlignment="1">
      <alignment horizontal="center" vertical="center"/>
    </xf>
    <xf numFmtId="43" fontId="8" fillId="8" borderId="32" xfId="1" applyFont="1" applyFill="1" applyBorder="1" applyAlignment="1">
      <alignment horizontal="center" vertical="center"/>
    </xf>
    <xf numFmtId="4" fontId="8" fillId="8" borderId="33" xfId="104" applyNumberFormat="1" applyFont="1" applyFill="1" applyBorder="1" applyAlignment="1">
      <alignment horizontal="center" vertical="center"/>
    </xf>
    <xf numFmtId="4" fontId="8" fillId="8" borderId="35" xfId="104" applyNumberFormat="1" applyFont="1" applyFill="1" applyBorder="1" applyAlignment="1">
      <alignment horizontal="center" vertical="center"/>
    </xf>
    <xf numFmtId="178" fontId="8" fillId="8" borderId="32" xfId="0" applyNumberFormat="1" applyFont="1" applyFill="1" applyBorder="1" applyAlignment="1">
      <alignment horizontal="center" vertical="center"/>
    </xf>
    <xf numFmtId="4" fontId="8" fillId="8" borderId="33" xfId="104" applyNumberFormat="1" applyFont="1" applyFill="1" applyBorder="1" applyAlignment="1">
      <alignment horizontal="center" vertical="center"/>
    </xf>
    <xf numFmtId="0" fontId="8" fillId="8" borderId="32" xfId="0" applyFont="1" applyFill="1" applyBorder="1" applyAlignment="1">
      <alignment horizontal="center" vertical="center"/>
    </xf>
    <xf numFmtId="0" fontId="8" fillId="8" borderId="38" xfId="104" applyFont="1" applyFill="1" applyBorder="1" applyAlignment="1">
      <alignment horizontal="center" vertical="center"/>
    </xf>
    <xf numFmtId="0" fontId="8" fillId="8" borderId="19" xfId="0" applyFont="1" applyFill="1" applyBorder="1" applyAlignment="1">
      <alignment horizontal="left" vertical="center"/>
    </xf>
    <xf numFmtId="0" fontId="40" fillId="8" borderId="19" xfId="0" applyFont="1" applyFill="1" applyBorder="1" applyAlignment="1">
      <alignment horizontal="center" vertical="center"/>
    </xf>
    <xf numFmtId="0" fontId="40" fillId="8" borderId="39" xfId="0" applyFont="1" applyFill="1" applyBorder="1" applyAlignment="1">
      <alignment horizontal="center" vertical="center"/>
    </xf>
    <xf numFmtId="43" fontId="8" fillId="8" borderId="38" xfId="1" applyFont="1" applyFill="1" applyBorder="1" applyAlignment="1">
      <alignment horizontal="center" vertical="center"/>
    </xf>
    <xf numFmtId="4" fontId="8" fillId="0" borderId="40" xfId="104" applyNumberFormat="1" applyFont="1" applyFill="1" applyBorder="1" applyAlignment="1">
      <alignment horizontal="center" vertical="center"/>
    </xf>
    <xf numFmtId="4" fontId="8" fillId="0" borderId="39" xfId="104" applyNumberFormat="1" applyFont="1" applyFill="1" applyBorder="1" applyAlignment="1">
      <alignment horizontal="center" vertical="center"/>
    </xf>
    <xf numFmtId="4" fontId="8" fillId="8" borderId="40" xfId="104" applyNumberFormat="1" applyFont="1" applyFill="1" applyBorder="1" applyAlignment="1">
      <alignment horizontal="center" vertical="center"/>
    </xf>
    <xf numFmtId="4" fontId="8" fillId="8" borderId="39" xfId="104" applyNumberFormat="1" applyFont="1" applyFill="1" applyBorder="1" applyAlignment="1">
      <alignment horizontal="center" vertical="center"/>
    </xf>
    <xf numFmtId="178" fontId="8" fillId="8" borderId="38" xfId="0" applyNumberFormat="1" applyFont="1" applyFill="1" applyBorder="1" applyAlignment="1">
      <alignment horizontal="center" vertical="center"/>
    </xf>
    <xf numFmtId="4" fontId="8" fillId="8" borderId="40" xfId="104" applyNumberFormat="1" applyFont="1" applyFill="1" applyBorder="1" applyAlignment="1">
      <alignment horizontal="center" vertical="center"/>
    </xf>
    <xf numFmtId="0" fontId="8" fillId="8" borderId="38" xfId="0" applyFont="1" applyFill="1" applyBorder="1" applyAlignment="1">
      <alignment horizontal="center" vertical="center"/>
    </xf>
    <xf numFmtId="4" fontId="8" fillId="0" borderId="33" xfId="104" applyNumberFormat="1" applyFont="1" applyFill="1" applyBorder="1" applyAlignment="1">
      <alignment horizontal="center" vertical="center"/>
    </xf>
    <xf numFmtId="4" fontId="8" fillId="0" borderId="35" xfId="104" applyNumberFormat="1" applyFont="1" applyFill="1" applyBorder="1" applyAlignment="1">
      <alignment horizontal="center" vertical="center"/>
    </xf>
  </cellXfs>
  <cellStyles count="109">
    <cellStyle name=",;F'KOIT[[WAAHK" xfId="2" xr:uid="{00000000-0005-0000-0000-000000000000}"/>
    <cellStyle name="?? [0.00]_????" xfId="3" xr:uid="{00000000-0005-0000-0000-000001000000}"/>
    <cellStyle name="?? [0]_PERSONAL" xfId="4" xr:uid="{00000000-0005-0000-0000-000002000000}"/>
    <cellStyle name="???? [0.00]_????" xfId="5" xr:uid="{00000000-0005-0000-0000-000003000000}"/>
    <cellStyle name="??????[0]_PERSONAL" xfId="6" xr:uid="{00000000-0005-0000-0000-000004000000}"/>
    <cellStyle name="??????PERSONAL" xfId="7" xr:uid="{00000000-0005-0000-0000-000005000000}"/>
    <cellStyle name="?????[0]_PERSONAL" xfId="8" xr:uid="{00000000-0005-0000-0000-000006000000}"/>
    <cellStyle name="?????PERSONAL" xfId="9" xr:uid="{00000000-0005-0000-0000-000007000000}"/>
    <cellStyle name="?????PERSONAL 2" xfId="68" xr:uid="{00000000-0005-0000-0000-000008000000}"/>
    <cellStyle name="????_????" xfId="10" xr:uid="{00000000-0005-0000-0000-000009000000}"/>
    <cellStyle name="???[0]_PERSONAL" xfId="11" xr:uid="{00000000-0005-0000-0000-00000A000000}"/>
    <cellStyle name="???_PERSONAL" xfId="12" xr:uid="{00000000-0005-0000-0000-00000B000000}"/>
    <cellStyle name="??_??" xfId="13" xr:uid="{00000000-0005-0000-0000-00000C000000}"/>
    <cellStyle name="?@??laroux" xfId="14" xr:uid="{00000000-0005-0000-0000-00000D000000}"/>
    <cellStyle name="=C:\WINDOWS\SYSTEM32\COMMAND.COM" xfId="15" xr:uid="{00000000-0005-0000-0000-00000E000000}"/>
    <cellStyle name="abc" xfId="16" xr:uid="{00000000-0005-0000-0000-00000F000000}"/>
    <cellStyle name="Calc Currency (0)" xfId="17" xr:uid="{00000000-0005-0000-0000-000010000000}"/>
    <cellStyle name="Calc Currency (2)" xfId="18" xr:uid="{00000000-0005-0000-0000-000011000000}"/>
    <cellStyle name="Calc Percent (0)" xfId="19" xr:uid="{00000000-0005-0000-0000-000012000000}"/>
    <cellStyle name="Calc Percent (1)" xfId="20" xr:uid="{00000000-0005-0000-0000-000013000000}"/>
    <cellStyle name="Calc Percent (2)" xfId="21" xr:uid="{00000000-0005-0000-0000-000014000000}"/>
    <cellStyle name="Calc Units (0)" xfId="22" xr:uid="{00000000-0005-0000-0000-000015000000}"/>
    <cellStyle name="Calc Units (0) 2" xfId="69" xr:uid="{00000000-0005-0000-0000-000016000000}"/>
    <cellStyle name="Calc Units (1)" xfId="23" xr:uid="{00000000-0005-0000-0000-000017000000}"/>
    <cellStyle name="Calc Units (1) 2" xfId="70" xr:uid="{00000000-0005-0000-0000-000018000000}"/>
    <cellStyle name="Calc Units (2)" xfId="24" xr:uid="{00000000-0005-0000-0000-000019000000}"/>
    <cellStyle name="Comma [00]" xfId="25" xr:uid="{00000000-0005-0000-0000-00001A000000}"/>
    <cellStyle name="Comma [00] 2" xfId="71" xr:uid="{00000000-0005-0000-0000-00001B000000}"/>
    <cellStyle name="Comma 6" xfId="26" xr:uid="{00000000-0005-0000-0000-00001C000000}"/>
    <cellStyle name="company_title" xfId="27" xr:uid="{00000000-0005-0000-0000-00001D000000}"/>
    <cellStyle name="Currency [00]" xfId="28" xr:uid="{00000000-0005-0000-0000-00001E000000}"/>
    <cellStyle name="Date Short" xfId="29" xr:uid="{00000000-0005-0000-0000-00001F000000}"/>
    <cellStyle name="date_format" xfId="30" xr:uid="{00000000-0005-0000-0000-000020000000}"/>
    <cellStyle name="Enter Currency (0)" xfId="31" xr:uid="{00000000-0005-0000-0000-000021000000}"/>
    <cellStyle name="Enter Currency (0) 2" xfId="72" xr:uid="{00000000-0005-0000-0000-000022000000}"/>
    <cellStyle name="Enter Currency (2)" xfId="32" xr:uid="{00000000-0005-0000-0000-000023000000}"/>
    <cellStyle name="Enter Units (0)" xfId="33" xr:uid="{00000000-0005-0000-0000-000024000000}"/>
    <cellStyle name="Enter Units (0) 2" xfId="73" xr:uid="{00000000-0005-0000-0000-000025000000}"/>
    <cellStyle name="Enter Units (1)" xfId="34" xr:uid="{00000000-0005-0000-0000-000026000000}"/>
    <cellStyle name="Enter Units (1) 2" xfId="74" xr:uid="{00000000-0005-0000-0000-000027000000}"/>
    <cellStyle name="Enter Units (2)" xfId="35" xr:uid="{00000000-0005-0000-0000-000028000000}"/>
    <cellStyle name="Grey" xfId="36" xr:uid="{00000000-0005-0000-0000-000029000000}"/>
    <cellStyle name="Header1" xfId="37" xr:uid="{00000000-0005-0000-0000-00002A000000}"/>
    <cellStyle name="Header2" xfId="38" xr:uid="{00000000-0005-0000-0000-00002B000000}"/>
    <cellStyle name="Input [yellow]" xfId="39" xr:uid="{00000000-0005-0000-0000-00002C000000}"/>
    <cellStyle name="Link Currency (0)" xfId="40" xr:uid="{00000000-0005-0000-0000-00002D000000}"/>
    <cellStyle name="Link Currency (0) 2" xfId="75" xr:uid="{00000000-0005-0000-0000-00002E000000}"/>
    <cellStyle name="Link Currency (2)" xfId="41" xr:uid="{00000000-0005-0000-0000-00002F000000}"/>
    <cellStyle name="Link Units (0)" xfId="42" xr:uid="{00000000-0005-0000-0000-000030000000}"/>
    <cellStyle name="Link Units (0) 2" xfId="76" xr:uid="{00000000-0005-0000-0000-000031000000}"/>
    <cellStyle name="Link Units (1)" xfId="43" xr:uid="{00000000-0005-0000-0000-000032000000}"/>
    <cellStyle name="Link Units (1) 2" xfId="77" xr:uid="{00000000-0005-0000-0000-000033000000}"/>
    <cellStyle name="Link Units (2)" xfId="44" xr:uid="{00000000-0005-0000-0000-000034000000}"/>
    <cellStyle name="no dec" xfId="45" xr:uid="{00000000-0005-0000-0000-000035000000}"/>
    <cellStyle name="Normal - Style1" xfId="46" xr:uid="{00000000-0005-0000-0000-000036000000}"/>
    <cellStyle name="Normal - Style1 2" xfId="79" xr:uid="{00000000-0005-0000-0000-000037000000}"/>
    <cellStyle name="Normal 3" xfId="108" xr:uid="{38BFF9E7-06F9-426F-BB8E-0B705A029827}"/>
    <cellStyle name="Normal 4" xfId="47" xr:uid="{00000000-0005-0000-0000-000038000000}"/>
    <cellStyle name="Nor聭al_ภาคกลาง" xfId="48" xr:uid="{00000000-0005-0000-0000-000039000000}"/>
    <cellStyle name="ParaBirimi [0]_RESULTS" xfId="49" xr:uid="{00000000-0005-0000-0000-00003A000000}"/>
    <cellStyle name="ParaBirimi_RESULTS" xfId="50" xr:uid="{00000000-0005-0000-0000-00003B000000}"/>
    <cellStyle name="Percent [0]" xfId="51" xr:uid="{00000000-0005-0000-0000-00003C000000}"/>
    <cellStyle name="Percent [00]" xfId="52" xr:uid="{00000000-0005-0000-0000-00003D000000}"/>
    <cellStyle name="Percent [2]" xfId="53" xr:uid="{00000000-0005-0000-0000-00003E000000}"/>
    <cellStyle name="PrePop Currency (0)" xfId="54" xr:uid="{00000000-0005-0000-0000-00003F000000}"/>
    <cellStyle name="PrePop Currency (0) 2" xfId="82" xr:uid="{00000000-0005-0000-0000-000040000000}"/>
    <cellStyle name="PrePop Currency (2)" xfId="55" xr:uid="{00000000-0005-0000-0000-000041000000}"/>
    <cellStyle name="PrePop Units (0)" xfId="56" xr:uid="{00000000-0005-0000-0000-000042000000}"/>
    <cellStyle name="PrePop Units (0) 2" xfId="83" xr:uid="{00000000-0005-0000-0000-000043000000}"/>
    <cellStyle name="PrePop Units (1)" xfId="57" xr:uid="{00000000-0005-0000-0000-000044000000}"/>
    <cellStyle name="PrePop Units (1) 2" xfId="84" xr:uid="{00000000-0005-0000-0000-000045000000}"/>
    <cellStyle name="PrePop Units (2)" xfId="58" xr:uid="{00000000-0005-0000-0000-000046000000}"/>
    <cellStyle name="report_title" xfId="59" xr:uid="{00000000-0005-0000-0000-000047000000}"/>
    <cellStyle name="Text Indent A" xfId="60" xr:uid="{00000000-0005-0000-0000-000048000000}"/>
    <cellStyle name="Text Indent B" xfId="61" xr:uid="{00000000-0005-0000-0000-000049000000}"/>
    <cellStyle name="Text Indent C" xfId="62" xr:uid="{00000000-0005-0000-0000-00004A000000}"/>
    <cellStyle name="Virg? [0]_RESULTS" xfId="63" xr:uid="{00000000-0005-0000-0000-00004B000000}"/>
    <cellStyle name="Virg?_RESULTS" xfId="64" xr:uid="{00000000-0005-0000-0000-00004C000000}"/>
    <cellStyle name="เครื่องหมายจุลภาค 2" xfId="107" xr:uid="{1C526B4F-0DC9-41C7-9E72-2934BA79BB2A}"/>
    <cellStyle name="เครื่องหมายจุลภาค 2 2" xfId="85" xr:uid="{00000000-0005-0000-0000-00004E000000}"/>
    <cellStyle name="เครื่องหมายจุลภาค 3 2" xfId="86" xr:uid="{00000000-0005-0000-0000-00004F000000}"/>
    <cellStyle name="เครื่องหมายจุลภาค 4 2" xfId="87" xr:uid="{00000000-0005-0000-0000-000050000000}"/>
    <cellStyle name="เครื่องหมายจุลภาค 5 2" xfId="88" xr:uid="{00000000-0005-0000-0000-000051000000}"/>
    <cellStyle name="เครื่องหมายจุลภาค 6" xfId="65" xr:uid="{00000000-0005-0000-0000-000052000000}"/>
    <cellStyle name="เครื่องหมายจุลภาค 6 2" xfId="89" xr:uid="{00000000-0005-0000-0000-000053000000}"/>
    <cellStyle name="จุลภาค" xfId="1" builtinId="3"/>
    <cellStyle name="ปกติ" xfId="0" builtinId="0"/>
    <cellStyle name="ปกติ 2" xfId="106" xr:uid="{F843DA86-710E-4074-8479-6C671B7D3492}"/>
    <cellStyle name="ปกติ 2 10" xfId="103" xr:uid="{00000000-0005-0000-0000-000056000000}"/>
    <cellStyle name="ปกติ 2 2" xfId="66" xr:uid="{00000000-0005-0000-0000-000057000000}"/>
    <cellStyle name="ปกติ 2 2 2" xfId="91" xr:uid="{00000000-0005-0000-0000-000058000000}"/>
    <cellStyle name="ปกติ 2 3" xfId="78" xr:uid="{00000000-0005-0000-0000-000059000000}"/>
    <cellStyle name="ปกติ 2 4" xfId="81" xr:uid="{00000000-0005-0000-0000-00005A000000}"/>
    <cellStyle name="ปกติ 2 5" xfId="90" xr:uid="{00000000-0005-0000-0000-00005B000000}"/>
    <cellStyle name="ปกติ 2 6" xfId="97" xr:uid="{00000000-0005-0000-0000-00005C000000}"/>
    <cellStyle name="ปกติ 2 7" xfId="99" xr:uid="{00000000-0005-0000-0000-00005D000000}"/>
    <cellStyle name="ปกติ 2 8" xfId="101" xr:uid="{00000000-0005-0000-0000-00005E000000}"/>
    <cellStyle name="ปกติ 2 9" xfId="102" xr:uid="{00000000-0005-0000-0000-00005F000000}"/>
    <cellStyle name="ปกติ 3 2" xfId="92" xr:uid="{00000000-0005-0000-0000-000060000000}"/>
    <cellStyle name="ปกติ 4" xfId="80" xr:uid="{00000000-0005-0000-0000-000061000000}"/>
    <cellStyle name="ปกติ 4 2" xfId="93" xr:uid="{00000000-0005-0000-0000-000062000000}"/>
    <cellStyle name="ปกติ 5 2" xfId="94" xr:uid="{00000000-0005-0000-0000-000063000000}"/>
    <cellStyle name="ปกติ 6" xfId="67" xr:uid="{00000000-0005-0000-0000-000064000000}"/>
    <cellStyle name="ปกติ 6 2" xfId="95" xr:uid="{00000000-0005-0000-0000-000065000000}"/>
    <cellStyle name="ปกติ 8" xfId="98" xr:uid="{00000000-0005-0000-0000-000066000000}"/>
    <cellStyle name="ปกติ 9" xfId="100" xr:uid="{00000000-0005-0000-0000-000067000000}"/>
    <cellStyle name="ปกติ_BOQ-BANG-NGA 2" xfId="104" xr:uid="{00000000-0005-0000-0000-000068000000}"/>
    <cellStyle name="ปกติ_ค่า Fบางนา" xfId="105" xr:uid="{00000000-0005-0000-0000-000069000000}"/>
    <cellStyle name="เปอร์เซ็นต์ 2" xfId="96" xr:uid="{00000000-0005-0000-0000-000054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104775</xdr:colOff>
      <xdr:row>13</xdr:row>
      <xdr:rowOff>19050</xdr:rowOff>
    </xdr:from>
    <xdr:to>
      <xdr:col>8</xdr:col>
      <xdr:colOff>304800</xdr:colOff>
      <xdr:row>13</xdr:row>
      <xdr:rowOff>228600</xdr:rowOff>
    </xdr:to>
    <xdr:sp macro="" textlink="">
      <xdr:nvSpPr>
        <xdr:cNvPr id="2" name="Text Box 23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2143125" y="2971800"/>
          <a:ext cx="1266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th-TH" sz="800" b="0" i="0" strike="noStrike">
              <a:solidFill>
                <a:srgbClr val="000000"/>
              </a:solidFill>
              <a:latin typeface="Arial"/>
            </a:rPr>
            <a:t>(ค่าจากตาราง ;บาท/ตัน)</a:t>
          </a:r>
        </a:p>
      </xdr:txBody>
    </xdr:sp>
    <xdr:clientData/>
  </xdr:twoCellAnchor>
  <xdr:twoCellAnchor>
    <xdr:from>
      <xdr:col>7</xdr:col>
      <xdr:colOff>114300</xdr:colOff>
      <xdr:row>15</xdr:row>
      <xdr:rowOff>19050</xdr:rowOff>
    </xdr:from>
    <xdr:to>
      <xdr:col>10</xdr:col>
      <xdr:colOff>247650</xdr:colOff>
      <xdr:row>15</xdr:row>
      <xdr:rowOff>228600</xdr:rowOff>
    </xdr:to>
    <xdr:sp macro="" textlink="">
      <xdr:nvSpPr>
        <xdr:cNvPr id="3" name="Text Box 234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2905125" y="3505200"/>
          <a:ext cx="1666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th-TH" sz="800" b="0" i="0" strike="noStrike">
              <a:solidFill>
                <a:srgbClr val="000000"/>
              </a:solidFill>
              <a:latin typeface="Arial"/>
            </a:rPr>
            <a:t>(ค่าจากตาราง ;จำนวนท่อต่อเที่ยว)</a:t>
          </a:r>
        </a:p>
      </xdr:txBody>
    </xdr:sp>
    <xdr:clientData/>
  </xdr:twoCellAnchor>
  <xdr:twoCellAnchor>
    <xdr:from>
      <xdr:col>5</xdr:col>
      <xdr:colOff>104775</xdr:colOff>
      <xdr:row>13</xdr:row>
      <xdr:rowOff>19050</xdr:rowOff>
    </xdr:from>
    <xdr:to>
      <xdr:col>8</xdr:col>
      <xdr:colOff>304800</xdr:colOff>
      <xdr:row>13</xdr:row>
      <xdr:rowOff>228600</xdr:rowOff>
    </xdr:to>
    <xdr:sp macro="" textlink="">
      <xdr:nvSpPr>
        <xdr:cNvPr id="4" name="Text Box 23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2143125" y="2971800"/>
          <a:ext cx="1266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th-TH" sz="800" b="0" i="0" strike="noStrike">
              <a:solidFill>
                <a:srgbClr val="000000"/>
              </a:solidFill>
              <a:latin typeface="Arial"/>
            </a:rPr>
            <a:t>(ค่าจากตาราง ;บาท/ตัน)</a:t>
          </a:r>
        </a:p>
      </xdr:txBody>
    </xdr:sp>
    <xdr:clientData/>
  </xdr:twoCellAnchor>
  <xdr:twoCellAnchor>
    <xdr:from>
      <xdr:col>5</xdr:col>
      <xdr:colOff>104775</xdr:colOff>
      <xdr:row>13</xdr:row>
      <xdr:rowOff>19050</xdr:rowOff>
    </xdr:from>
    <xdr:to>
      <xdr:col>8</xdr:col>
      <xdr:colOff>304800</xdr:colOff>
      <xdr:row>13</xdr:row>
      <xdr:rowOff>228600</xdr:rowOff>
    </xdr:to>
    <xdr:sp macro="" textlink="">
      <xdr:nvSpPr>
        <xdr:cNvPr id="5" name="Text Box 233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2143125" y="2971800"/>
          <a:ext cx="1266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th-TH" sz="800" b="0" i="0" strike="noStrike">
              <a:solidFill>
                <a:srgbClr val="000000"/>
              </a:solidFill>
              <a:latin typeface="Arial"/>
            </a:rPr>
            <a:t>(ค่าจากตาราง ;บาท/ตัน)</a:t>
          </a:r>
        </a:p>
      </xdr:txBody>
    </xdr:sp>
    <xdr:clientData/>
  </xdr:twoCellAnchor>
  <xdr:twoCellAnchor>
    <xdr:from>
      <xdr:col>7</xdr:col>
      <xdr:colOff>114300</xdr:colOff>
      <xdr:row>15</xdr:row>
      <xdr:rowOff>186690</xdr:rowOff>
    </xdr:from>
    <xdr:to>
      <xdr:col>10</xdr:col>
      <xdr:colOff>247650</xdr:colOff>
      <xdr:row>16</xdr:row>
      <xdr:rowOff>236220</xdr:rowOff>
    </xdr:to>
    <xdr:sp macro="" textlink="">
      <xdr:nvSpPr>
        <xdr:cNvPr id="6" name="Text Box 234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 bwMode="auto">
        <a:xfrm>
          <a:off x="4434840" y="4248150"/>
          <a:ext cx="1985010" cy="3162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th-TH" sz="800" b="0" i="0" strike="noStrike">
              <a:solidFill>
                <a:srgbClr val="000000"/>
              </a:solidFill>
              <a:latin typeface="Arial"/>
            </a:rPr>
            <a:t>(ค่าจากตาราง ;จำนวนท่อต่อเที่ยว)</a:t>
          </a:r>
        </a:p>
      </xdr:txBody>
    </xdr:sp>
    <xdr:clientData/>
  </xdr:twoCellAnchor>
  <xdr:twoCellAnchor>
    <xdr:from>
      <xdr:col>5</xdr:col>
      <xdr:colOff>104775</xdr:colOff>
      <xdr:row>13</xdr:row>
      <xdr:rowOff>19050</xdr:rowOff>
    </xdr:from>
    <xdr:to>
      <xdr:col>8</xdr:col>
      <xdr:colOff>304800</xdr:colOff>
      <xdr:row>13</xdr:row>
      <xdr:rowOff>228600</xdr:rowOff>
    </xdr:to>
    <xdr:sp macro="" textlink="">
      <xdr:nvSpPr>
        <xdr:cNvPr id="7" name="Text Box 233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2143125" y="2971800"/>
          <a:ext cx="1266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th-TH" sz="800" b="0" i="0" strike="noStrike">
              <a:solidFill>
                <a:srgbClr val="000000"/>
              </a:solidFill>
              <a:latin typeface="Arial"/>
            </a:rPr>
            <a:t>(ค่าจากตาราง ;บาท/ตัน)</a:t>
          </a:r>
        </a:p>
      </xdr:txBody>
    </xdr:sp>
    <xdr:clientData/>
  </xdr:twoCellAnchor>
  <xdr:twoCellAnchor>
    <xdr:from>
      <xdr:col>5</xdr:col>
      <xdr:colOff>104775</xdr:colOff>
      <xdr:row>41</xdr:row>
      <xdr:rowOff>19050</xdr:rowOff>
    </xdr:from>
    <xdr:to>
      <xdr:col>8</xdr:col>
      <xdr:colOff>304800</xdr:colOff>
      <xdr:row>41</xdr:row>
      <xdr:rowOff>228600</xdr:rowOff>
    </xdr:to>
    <xdr:sp macro="" textlink="">
      <xdr:nvSpPr>
        <xdr:cNvPr id="20" name="Text Box 233">
          <a:extLst>
            <a:ext uri="{FF2B5EF4-FFF2-40B4-BE49-F238E27FC236}">
              <a16:creationId xmlns:a16="http://schemas.microsoft.com/office/drawing/2014/main" id="{50C8F689-10B9-43C9-9DDC-6FA0ACDF0CC4}"/>
            </a:ext>
          </a:extLst>
        </xdr:cNvPr>
        <xdr:cNvSpPr txBox="1">
          <a:spLocks noChangeArrowheads="1"/>
        </xdr:cNvSpPr>
      </xdr:nvSpPr>
      <xdr:spPr bwMode="auto">
        <a:xfrm>
          <a:off x="3190875" y="3905250"/>
          <a:ext cx="205168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th-TH" sz="800" b="0" i="0" strike="noStrike">
              <a:solidFill>
                <a:srgbClr val="000000"/>
              </a:solidFill>
              <a:latin typeface="Arial"/>
            </a:rPr>
            <a:t>(ค่าจากตาราง ;บาท/ตัน)</a:t>
          </a:r>
        </a:p>
      </xdr:txBody>
    </xdr:sp>
    <xdr:clientData/>
  </xdr:twoCellAnchor>
  <xdr:twoCellAnchor>
    <xdr:from>
      <xdr:col>7</xdr:col>
      <xdr:colOff>114300</xdr:colOff>
      <xdr:row>43</xdr:row>
      <xdr:rowOff>19050</xdr:rowOff>
    </xdr:from>
    <xdr:to>
      <xdr:col>10</xdr:col>
      <xdr:colOff>247650</xdr:colOff>
      <xdr:row>43</xdr:row>
      <xdr:rowOff>228600</xdr:rowOff>
    </xdr:to>
    <xdr:sp macro="" textlink="">
      <xdr:nvSpPr>
        <xdr:cNvPr id="21" name="Text Box 234">
          <a:extLst>
            <a:ext uri="{FF2B5EF4-FFF2-40B4-BE49-F238E27FC236}">
              <a16:creationId xmlns:a16="http://schemas.microsoft.com/office/drawing/2014/main" id="{ED7DA487-9076-4280-BDC2-8679FC11680E}"/>
            </a:ext>
          </a:extLst>
        </xdr:cNvPr>
        <xdr:cNvSpPr txBox="1">
          <a:spLocks noChangeArrowheads="1"/>
        </xdr:cNvSpPr>
      </xdr:nvSpPr>
      <xdr:spPr bwMode="auto">
        <a:xfrm>
          <a:off x="4434840" y="4499610"/>
          <a:ext cx="198501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th-TH" sz="800" b="0" i="0" strike="noStrike">
              <a:solidFill>
                <a:srgbClr val="000000"/>
              </a:solidFill>
              <a:latin typeface="Arial"/>
            </a:rPr>
            <a:t>(ค่าจากตาราง ;จำนวนท่อต่อเที่ยว)</a:t>
          </a:r>
        </a:p>
      </xdr:txBody>
    </xdr:sp>
    <xdr:clientData/>
  </xdr:twoCellAnchor>
  <xdr:twoCellAnchor>
    <xdr:from>
      <xdr:col>5</xdr:col>
      <xdr:colOff>104775</xdr:colOff>
      <xdr:row>41</xdr:row>
      <xdr:rowOff>19050</xdr:rowOff>
    </xdr:from>
    <xdr:to>
      <xdr:col>8</xdr:col>
      <xdr:colOff>304800</xdr:colOff>
      <xdr:row>41</xdr:row>
      <xdr:rowOff>228600</xdr:rowOff>
    </xdr:to>
    <xdr:sp macro="" textlink="">
      <xdr:nvSpPr>
        <xdr:cNvPr id="22" name="Text Box 233">
          <a:extLst>
            <a:ext uri="{FF2B5EF4-FFF2-40B4-BE49-F238E27FC236}">
              <a16:creationId xmlns:a16="http://schemas.microsoft.com/office/drawing/2014/main" id="{93F0DECE-336F-4B54-9CF2-706388F9FA29}"/>
            </a:ext>
          </a:extLst>
        </xdr:cNvPr>
        <xdr:cNvSpPr txBox="1">
          <a:spLocks noChangeArrowheads="1"/>
        </xdr:cNvSpPr>
      </xdr:nvSpPr>
      <xdr:spPr bwMode="auto">
        <a:xfrm>
          <a:off x="3190875" y="3905250"/>
          <a:ext cx="205168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th-TH" sz="800" b="0" i="0" strike="noStrike">
              <a:solidFill>
                <a:srgbClr val="000000"/>
              </a:solidFill>
              <a:latin typeface="Arial"/>
            </a:rPr>
            <a:t>(ค่าจากตาราง ;บาท/ตัน)</a:t>
          </a:r>
        </a:p>
      </xdr:txBody>
    </xdr:sp>
    <xdr:clientData/>
  </xdr:twoCellAnchor>
  <xdr:twoCellAnchor>
    <xdr:from>
      <xdr:col>5</xdr:col>
      <xdr:colOff>104775</xdr:colOff>
      <xdr:row>41</xdr:row>
      <xdr:rowOff>19050</xdr:rowOff>
    </xdr:from>
    <xdr:to>
      <xdr:col>8</xdr:col>
      <xdr:colOff>304800</xdr:colOff>
      <xdr:row>41</xdr:row>
      <xdr:rowOff>228600</xdr:rowOff>
    </xdr:to>
    <xdr:sp macro="" textlink="">
      <xdr:nvSpPr>
        <xdr:cNvPr id="23" name="Text Box 233">
          <a:extLst>
            <a:ext uri="{FF2B5EF4-FFF2-40B4-BE49-F238E27FC236}">
              <a16:creationId xmlns:a16="http://schemas.microsoft.com/office/drawing/2014/main" id="{7CBFD56A-4A1C-4024-818C-3089EEE0D847}"/>
            </a:ext>
          </a:extLst>
        </xdr:cNvPr>
        <xdr:cNvSpPr txBox="1">
          <a:spLocks noChangeArrowheads="1"/>
        </xdr:cNvSpPr>
      </xdr:nvSpPr>
      <xdr:spPr bwMode="auto">
        <a:xfrm>
          <a:off x="3190875" y="3905250"/>
          <a:ext cx="205168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th-TH" sz="800" b="0" i="0" strike="noStrike">
              <a:solidFill>
                <a:srgbClr val="000000"/>
              </a:solidFill>
              <a:latin typeface="Arial"/>
            </a:rPr>
            <a:t>(ค่าจากตาราง ;บาท/ตัน)</a:t>
          </a:r>
        </a:p>
      </xdr:txBody>
    </xdr:sp>
    <xdr:clientData/>
  </xdr:twoCellAnchor>
  <xdr:twoCellAnchor>
    <xdr:from>
      <xdr:col>7</xdr:col>
      <xdr:colOff>114300</xdr:colOff>
      <xdr:row>43</xdr:row>
      <xdr:rowOff>186690</xdr:rowOff>
    </xdr:from>
    <xdr:to>
      <xdr:col>10</xdr:col>
      <xdr:colOff>247650</xdr:colOff>
      <xdr:row>44</xdr:row>
      <xdr:rowOff>236220</xdr:rowOff>
    </xdr:to>
    <xdr:sp macro="" textlink="">
      <xdr:nvSpPr>
        <xdr:cNvPr id="24" name="Text Box 234">
          <a:extLst>
            <a:ext uri="{FF2B5EF4-FFF2-40B4-BE49-F238E27FC236}">
              <a16:creationId xmlns:a16="http://schemas.microsoft.com/office/drawing/2014/main" id="{3614F034-8A52-40FA-81C7-89B84B3BD5E0}"/>
            </a:ext>
          </a:extLst>
        </xdr:cNvPr>
        <xdr:cNvSpPr txBox="1">
          <a:spLocks noChangeArrowheads="1"/>
        </xdr:cNvSpPr>
      </xdr:nvSpPr>
      <xdr:spPr bwMode="auto">
        <a:xfrm>
          <a:off x="4434840" y="4667250"/>
          <a:ext cx="1985010" cy="3467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th-TH" sz="800" b="0" i="0" strike="noStrike">
              <a:solidFill>
                <a:srgbClr val="000000"/>
              </a:solidFill>
              <a:latin typeface="Arial"/>
            </a:rPr>
            <a:t>(ค่าจากตาราง ;จำนวนท่อต่อเที่ยว)</a:t>
          </a:r>
        </a:p>
      </xdr:txBody>
    </xdr:sp>
    <xdr:clientData/>
  </xdr:twoCellAnchor>
  <xdr:twoCellAnchor>
    <xdr:from>
      <xdr:col>5</xdr:col>
      <xdr:colOff>104775</xdr:colOff>
      <xdr:row>41</xdr:row>
      <xdr:rowOff>19050</xdr:rowOff>
    </xdr:from>
    <xdr:to>
      <xdr:col>8</xdr:col>
      <xdr:colOff>304800</xdr:colOff>
      <xdr:row>41</xdr:row>
      <xdr:rowOff>228600</xdr:rowOff>
    </xdr:to>
    <xdr:sp macro="" textlink="">
      <xdr:nvSpPr>
        <xdr:cNvPr id="25" name="Text Box 233">
          <a:extLst>
            <a:ext uri="{FF2B5EF4-FFF2-40B4-BE49-F238E27FC236}">
              <a16:creationId xmlns:a16="http://schemas.microsoft.com/office/drawing/2014/main" id="{6487139D-E87F-4017-8A26-94BA5B58B30C}"/>
            </a:ext>
          </a:extLst>
        </xdr:cNvPr>
        <xdr:cNvSpPr txBox="1">
          <a:spLocks noChangeArrowheads="1"/>
        </xdr:cNvSpPr>
      </xdr:nvSpPr>
      <xdr:spPr bwMode="auto">
        <a:xfrm>
          <a:off x="3190875" y="3905250"/>
          <a:ext cx="205168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th-TH" sz="800" b="0" i="0" strike="noStrike">
              <a:solidFill>
                <a:srgbClr val="000000"/>
              </a:solidFill>
              <a:latin typeface="Arial"/>
            </a:rPr>
            <a:t>(ค่าจากตาราง ;บาท/ตัน)</a:t>
          </a:r>
        </a:p>
      </xdr:txBody>
    </xdr:sp>
    <xdr:clientData/>
  </xdr:twoCellAnchor>
  <xdr:twoCellAnchor>
    <xdr:from>
      <xdr:col>5</xdr:col>
      <xdr:colOff>104775</xdr:colOff>
      <xdr:row>41</xdr:row>
      <xdr:rowOff>19050</xdr:rowOff>
    </xdr:from>
    <xdr:to>
      <xdr:col>8</xdr:col>
      <xdr:colOff>304800</xdr:colOff>
      <xdr:row>41</xdr:row>
      <xdr:rowOff>228600</xdr:rowOff>
    </xdr:to>
    <xdr:sp macro="" textlink="">
      <xdr:nvSpPr>
        <xdr:cNvPr id="26" name="Text Box 233">
          <a:extLst>
            <a:ext uri="{FF2B5EF4-FFF2-40B4-BE49-F238E27FC236}">
              <a16:creationId xmlns:a16="http://schemas.microsoft.com/office/drawing/2014/main" id="{1179D5CA-F6F6-4A5F-AA0B-805F2B43762A}"/>
            </a:ext>
          </a:extLst>
        </xdr:cNvPr>
        <xdr:cNvSpPr txBox="1">
          <a:spLocks noChangeArrowheads="1"/>
        </xdr:cNvSpPr>
      </xdr:nvSpPr>
      <xdr:spPr bwMode="auto">
        <a:xfrm>
          <a:off x="3190875" y="3905250"/>
          <a:ext cx="205168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th-TH" sz="800" b="0" i="0" strike="noStrike">
              <a:solidFill>
                <a:srgbClr val="000000"/>
              </a:solidFill>
              <a:latin typeface="Arial"/>
            </a:rPr>
            <a:t>(ค่าจากตาราง ;บาท/ตัน)</a:t>
          </a:r>
        </a:p>
      </xdr:txBody>
    </xdr:sp>
    <xdr:clientData/>
  </xdr:twoCellAnchor>
  <xdr:twoCellAnchor>
    <xdr:from>
      <xdr:col>7</xdr:col>
      <xdr:colOff>114300</xdr:colOff>
      <xdr:row>43</xdr:row>
      <xdr:rowOff>19050</xdr:rowOff>
    </xdr:from>
    <xdr:to>
      <xdr:col>10</xdr:col>
      <xdr:colOff>247650</xdr:colOff>
      <xdr:row>43</xdr:row>
      <xdr:rowOff>228600</xdr:rowOff>
    </xdr:to>
    <xdr:sp macro="" textlink="">
      <xdr:nvSpPr>
        <xdr:cNvPr id="27" name="Text Box 234">
          <a:extLst>
            <a:ext uri="{FF2B5EF4-FFF2-40B4-BE49-F238E27FC236}">
              <a16:creationId xmlns:a16="http://schemas.microsoft.com/office/drawing/2014/main" id="{475F8621-3955-4328-9BC6-CC1DD6413976}"/>
            </a:ext>
          </a:extLst>
        </xdr:cNvPr>
        <xdr:cNvSpPr txBox="1">
          <a:spLocks noChangeArrowheads="1"/>
        </xdr:cNvSpPr>
      </xdr:nvSpPr>
      <xdr:spPr bwMode="auto">
        <a:xfrm>
          <a:off x="4434840" y="4499610"/>
          <a:ext cx="198501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th-TH" sz="800" b="0" i="0" strike="noStrike">
              <a:solidFill>
                <a:srgbClr val="000000"/>
              </a:solidFill>
              <a:latin typeface="Arial"/>
            </a:rPr>
            <a:t>(ค่าจากตาราง ;จำนวนท่อต่อเที่ยว)</a:t>
          </a:r>
        </a:p>
      </xdr:txBody>
    </xdr:sp>
    <xdr:clientData/>
  </xdr:twoCellAnchor>
  <xdr:twoCellAnchor>
    <xdr:from>
      <xdr:col>5</xdr:col>
      <xdr:colOff>104775</xdr:colOff>
      <xdr:row>41</xdr:row>
      <xdr:rowOff>19050</xdr:rowOff>
    </xdr:from>
    <xdr:to>
      <xdr:col>8</xdr:col>
      <xdr:colOff>304800</xdr:colOff>
      <xdr:row>41</xdr:row>
      <xdr:rowOff>228600</xdr:rowOff>
    </xdr:to>
    <xdr:sp macro="" textlink="">
      <xdr:nvSpPr>
        <xdr:cNvPr id="28" name="Text Box 233">
          <a:extLst>
            <a:ext uri="{FF2B5EF4-FFF2-40B4-BE49-F238E27FC236}">
              <a16:creationId xmlns:a16="http://schemas.microsoft.com/office/drawing/2014/main" id="{B090539A-E1C8-4B51-ADF1-9935231BCB96}"/>
            </a:ext>
          </a:extLst>
        </xdr:cNvPr>
        <xdr:cNvSpPr txBox="1">
          <a:spLocks noChangeArrowheads="1"/>
        </xdr:cNvSpPr>
      </xdr:nvSpPr>
      <xdr:spPr bwMode="auto">
        <a:xfrm>
          <a:off x="3190875" y="3905250"/>
          <a:ext cx="205168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th-TH" sz="800" b="0" i="0" strike="noStrike">
              <a:solidFill>
                <a:srgbClr val="000000"/>
              </a:solidFill>
              <a:latin typeface="Arial"/>
            </a:rPr>
            <a:t>(ค่าจากตาราง ;บาท/ตัน)</a:t>
          </a:r>
        </a:p>
      </xdr:txBody>
    </xdr:sp>
    <xdr:clientData/>
  </xdr:twoCellAnchor>
  <xdr:twoCellAnchor>
    <xdr:from>
      <xdr:col>5</xdr:col>
      <xdr:colOff>104775</xdr:colOff>
      <xdr:row>41</xdr:row>
      <xdr:rowOff>19050</xdr:rowOff>
    </xdr:from>
    <xdr:to>
      <xdr:col>8</xdr:col>
      <xdr:colOff>304800</xdr:colOff>
      <xdr:row>41</xdr:row>
      <xdr:rowOff>228600</xdr:rowOff>
    </xdr:to>
    <xdr:sp macro="" textlink="">
      <xdr:nvSpPr>
        <xdr:cNvPr id="29" name="Text Box 233">
          <a:extLst>
            <a:ext uri="{FF2B5EF4-FFF2-40B4-BE49-F238E27FC236}">
              <a16:creationId xmlns:a16="http://schemas.microsoft.com/office/drawing/2014/main" id="{3BE7E6E1-71A7-4499-8056-58D94BB86AFA}"/>
            </a:ext>
          </a:extLst>
        </xdr:cNvPr>
        <xdr:cNvSpPr txBox="1">
          <a:spLocks noChangeArrowheads="1"/>
        </xdr:cNvSpPr>
      </xdr:nvSpPr>
      <xdr:spPr bwMode="auto">
        <a:xfrm>
          <a:off x="3190875" y="3905250"/>
          <a:ext cx="205168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th-TH" sz="800" b="0" i="0" strike="noStrike">
              <a:solidFill>
                <a:srgbClr val="000000"/>
              </a:solidFill>
              <a:latin typeface="Arial"/>
            </a:rPr>
            <a:t>(ค่าจากตาราง ;บาท/ตัน)</a:t>
          </a:r>
        </a:p>
      </xdr:txBody>
    </xdr:sp>
    <xdr:clientData/>
  </xdr:twoCellAnchor>
  <xdr:twoCellAnchor>
    <xdr:from>
      <xdr:col>7</xdr:col>
      <xdr:colOff>114300</xdr:colOff>
      <xdr:row>43</xdr:row>
      <xdr:rowOff>186690</xdr:rowOff>
    </xdr:from>
    <xdr:to>
      <xdr:col>10</xdr:col>
      <xdr:colOff>247650</xdr:colOff>
      <xdr:row>44</xdr:row>
      <xdr:rowOff>236220</xdr:rowOff>
    </xdr:to>
    <xdr:sp macro="" textlink="">
      <xdr:nvSpPr>
        <xdr:cNvPr id="30" name="Text Box 234">
          <a:extLst>
            <a:ext uri="{FF2B5EF4-FFF2-40B4-BE49-F238E27FC236}">
              <a16:creationId xmlns:a16="http://schemas.microsoft.com/office/drawing/2014/main" id="{942C5773-F878-4670-BA08-EA68BFC4CD47}"/>
            </a:ext>
          </a:extLst>
        </xdr:cNvPr>
        <xdr:cNvSpPr txBox="1">
          <a:spLocks noChangeArrowheads="1"/>
        </xdr:cNvSpPr>
      </xdr:nvSpPr>
      <xdr:spPr bwMode="auto">
        <a:xfrm>
          <a:off x="4434840" y="4667250"/>
          <a:ext cx="1985010" cy="3467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th-TH" sz="800" b="0" i="0" strike="noStrike">
              <a:solidFill>
                <a:srgbClr val="000000"/>
              </a:solidFill>
              <a:latin typeface="Arial"/>
            </a:rPr>
            <a:t>(ค่าจากตาราง ;จำนวนท่อต่อเที่ยว)</a:t>
          </a:r>
        </a:p>
      </xdr:txBody>
    </xdr:sp>
    <xdr:clientData/>
  </xdr:twoCellAnchor>
  <xdr:twoCellAnchor>
    <xdr:from>
      <xdr:col>5</xdr:col>
      <xdr:colOff>104775</xdr:colOff>
      <xdr:row>41</xdr:row>
      <xdr:rowOff>19050</xdr:rowOff>
    </xdr:from>
    <xdr:to>
      <xdr:col>8</xdr:col>
      <xdr:colOff>304800</xdr:colOff>
      <xdr:row>41</xdr:row>
      <xdr:rowOff>228600</xdr:rowOff>
    </xdr:to>
    <xdr:sp macro="" textlink="">
      <xdr:nvSpPr>
        <xdr:cNvPr id="31" name="Text Box 233">
          <a:extLst>
            <a:ext uri="{FF2B5EF4-FFF2-40B4-BE49-F238E27FC236}">
              <a16:creationId xmlns:a16="http://schemas.microsoft.com/office/drawing/2014/main" id="{5AC70D5E-1024-4FEB-A2EC-DBF56CD92FB3}"/>
            </a:ext>
          </a:extLst>
        </xdr:cNvPr>
        <xdr:cNvSpPr txBox="1">
          <a:spLocks noChangeArrowheads="1"/>
        </xdr:cNvSpPr>
      </xdr:nvSpPr>
      <xdr:spPr bwMode="auto">
        <a:xfrm>
          <a:off x="3190875" y="3905250"/>
          <a:ext cx="205168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th-TH" sz="800" b="0" i="0" strike="noStrike">
              <a:solidFill>
                <a:srgbClr val="000000"/>
              </a:solidFill>
              <a:latin typeface="Arial"/>
            </a:rPr>
            <a:t>(ค่าจากตาราง ;บาท/ตัน)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285749</xdr:colOff>
      <xdr:row>0</xdr:row>
      <xdr:rowOff>0</xdr:rowOff>
    </xdr:from>
    <xdr:to>
      <xdr:col>21</xdr:col>
      <xdr:colOff>337704</xdr:colOff>
      <xdr:row>13</xdr:row>
      <xdr:rowOff>194881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9502" t="11786" r="10612" b="19423"/>
        <a:stretch/>
      </xdr:blipFill>
      <xdr:spPr>
        <a:xfrm>
          <a:off x="8009658" y="0"/>
          <a:ext cx="2788228" cy="3608295"/>
        </a:xfrm>
        <a:prstGeom prst="rect">
          <a:avLst/>
        </a:prstGeom>
      </xdr:spPr>
    </xdr:pic>
    <xdr:clientData/>
  </xdr:twoCellAnchor>
  <xdr:twoCellAnchor editAs="oneCell">
    <xdr:from>
      <xdr:col>17</xdr:col>
      <xdr:colOff>329711</xdr:colOff>
      <xdr:row>14</xdr:row>
      <xdr:rowOff>65943</xdr:rowOff>
    </xdr:from>
    <xdr:to>
      <xdr:col>25</xdr:col>
      <xdr:colOff>314586</xdr:colOff>
      <xdr:row>21</xdr:row>
      <xdr:rowOff>60082</xdr:rowOff>
    </xdr:to>
    <xdr:pic>
      <xdr:nvPicPr>
        <xdr:cNvPr id="6" name="รูปภาพ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6648" t="46422" r="23458" b="28803"/>
        <a:stretch/>
      </xdr:blipFill>
      <xdr:spPr>
        <a:xfrm>
          <a:off x="8044961" y="3773366"/>
          <a:ext cx="5494721" cy="1828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285749</xdr:colOff>
      <xdr:row>0</xdr:row>
      <xdr:rowOff>0</xdr:rowOff>
    </xdr:from>
    <xdr:to>
      <xdr:col>21</xdr:col>
      <xdr:colOff>337705</xdr:colOff>
      <xdr:row>13</xdr:row>
      <xdr:rowOff>194881</xdr:rowOff>
    </xdr:to>
    <xdr:pic>
      <xdr:nvPicPr>
        <xdr:cNvPr id="5" name="รูปภาพ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9502" t="11786" r="10612" b="19423"/>
        <a:stretch/>
      </xdr:blipFill>
      <xdr:spPr>
        <a:xfrm>
          <a:off x="7981949" y="0"/>
          <a:ext cx="2795155" cy="3585781"/>
        </a:xfrm>
        <a:prstGeom prst="rect">
          <a:avLst/>
        </a:prstGeom>
      </xdr:spPr>
    </xdr:pic>
    <xdr:clientData/>
  </xdr:twoCellAnchor>
  <xdr:twoCellAnchor editAs="oneCell">
    <xdr:from>
      <xdr:col>17</xdr:col>
      <xdr:colOff>314325</xdr:colOff>
      <xdr:row>14</xdr:row>
      <xdr:rowOff>0</xdr:rowOff>
    </xdr:from>
    <xdr:to>
      <xdr:col>24</xdr:col>
      <xdr:colOff>1905</xdr:colOff>
      <xdr:row>41</xdr:row>
      <xdr:rowOff>172183</xdr:rowOff>
    </xdr:to>
    <xdr:pic>
      <xdr:nvPicPr>
        <xdr:cNvPr id="6" name="รูปภาพ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2947" t="9317" r="33036" b="6138"/>
        <a:stretch/>
      </xdr:blipFill>
      <xdr:spPr>
        <a:xfrm>
          <a:off x="8010525" y="3743325"/>
          <a:ext cx="4425461" cy="61839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242456</xdr:colOff>
      <xdr:row>8</xdr:row>
      <xdr:rowOff>34635</xdr:rowOff>
    </xdr:from>
    <xdr:to>
      <xdr:col>6</xdr:col>
      <xdr:colOff>852649</xdr:colOff>
      <xdr:row>27</xdr:row>
      <xdr:rowOff>15135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2456" y="1835726"/>
          <a:ext cx="6403125" cy="36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28</xdr:row>
      <xdr:rowOff>0</xdr:rowOff>
    </xdr:from>
    <xdr:to>
      <xdr:col>6</xdr:col>
      <xdr:colOff>610194</xdr:colOff>
      <xdr:row>46</xdr:row>
      <xdr:rowOff>171000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-3516" t="1443" r="3516" b="-1443"/>
        <a:stretch/>
      </xdr:blipFill>
      <xdr:spPr>
        <a:xfrm>
          <a:off x="1" y="5611091"/>
          <a:ext cx="6403125" cy="36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4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L40"/>
  <sheetViews>
    <sheetView view="pageBreakPreview" topLeftCell="A21" zoomScale="110" zoomScaleSheetLayoutView="110" workbookViewId="0">
      <selection activeCell="K30" sqref="K30"/>
    </sheetView>
  </sheetViews>
  <sheetFormatPr defaultColWidth="9" defaultRowHeight="23.4"/>
  <cols>
    <col min="1" max="1" width="5.109375" style="80" customWidth="1"/>
    <col min="2" max="3" width="10.6640625" style="80" customWidth="1"/>
    <col min="4" max="4" width="16.6640625" style="80" customWidth="1"/>
    <col min="5" max="5" width="7.21875" style="80" customWidth="1"/>
    <col min="6" max="6" width="11.88671875" style="80" customWidth="1"/>
    <col min="7" max="7" width="8.21875" style="80" customWidth="1"/>
    <col min="8" max="8" width="9.21875" style="80" customWidth="1"/>
    <col min="9" max="9" width="8.44140625" style="80" customWidth="1"/>
    <col min="10" max="10" width="10.109375" style="80" customWidth="1"/>
    <col min="11" max="11" width="11.77734375" style="80" customWidth="1"/>
    <col min="12" max="12" width="14.44140625" style="80" customWidth="1"/>
    <col min="13" max="16384" width="9" style="80"/>
  </cols>
  <sheetData>
    <row r="1" spans="1:12">
      <c r="A1" s="287" t="s">
        <v>14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</row>
    <row r="2" spans="1:12">
      <c r="A2" s="81" t="s">
        <v>310</v>
      </c>
      <c r="C2" s="81" t="s">
        <v>311</v>
      </c>
      <c r="D2" s="79"/>
      <c r="E2" s="79"/>
      <c r="F2" s="79"/>
      <c r="G2" s="79"/>
      <c r="H2" s="79"/>
      <c r="I2" s="79"/>
      <c r="J2" s="79"/>
      <c r="K2" s="79"/>
      <c r="L2" s="79"/>
    </row>
    <row r="3" spans="1:12">
      <c r="A3" s="80" t="s">
        <v>312</v>
      </c>
      <c r="C3" s="80" t="s">
        <v>375</v>
      </c>
    </row>
    <row r="4" spans="1:12">
      <c r="A4" s="80" t="s">
        <v>313</v>
      </c>
      <c r="C4" s="273" t="s">
        <v>367</v>
      </c>
    </row>
    <row r="5" spans="1:12" s="86" customFormat="1" ht="53.4" customHeight="1">
      <c r="A5" s="82" t="s">
        <v>314</v>
      </c>
      <c r="B5" s="96"/>
      <c r="C5" s="291" t="s">
        <v>374</v>
      </c>
      <c r="D5" s="291"/>
      <c r="E5" s="291"/>
      <c r="F5" s="291"/>
      <c r="G5" s="291"/>
      <c r="H5" s="291"/>
      <c r="I5" s="291"/>
      <c r="J5" s="291"/>
      <c r="K5" s="291"/>
      <c r="L5" s="291"/>
    </row>
    <row r="6" spans="1:12" ht="21" customHeight="1">
      <c r="A6" s="80" t="s">
        <v>315</v>
      </c>
      <c r="C6" s="80" t="s">
        <v>372</v>
      </c>
      <c r="J6" s="97"/>
    </row>
    <row r="7" spans="1:12">
      <c r="A7" s="80" t="s">
        <v>351</v>
      </c>
      <c r="F7" s="80" t="s">
        <v>344</v>
      </c>
      <c r="J7" s="80" t="s">
        <v>15</v>
      </c>
    </row>
    <row r="8" spans="1:12">
      <c r="A8" s="80" t="s">
        <v>66</v>
      </c>
      <c r="F8" s="80" t="s">
        <v>379</v>
      </c>
    </row>
    <row r="9" spans="1:12">
      <c r="A9" s="98" t="s">
        <v>21</v>
      </c>
      <c r="B9" s="288" t="s">
        <v>0</v>
      </c>
      <c r="C9" s="289"/>
      <c r="D9" s="290"/>
      <c r="E9" s="98" t="s">
        <v>1</v>
      </c>
      <c r="F9" s="98" t="s">
        <v>5</v>
      </c>
      <c r="G9" s="98" t="s">
        <v>3</v>
      </c>
      <c r="H9" s="98" t="s">
        <v>5</v>
      </c>
      <c r="I9" s="98" t="s">
        <v>9</v>
      </c>
      <c r="J9" s="98" t="s">
        <v>10</v>
      </c>
      <c r="K9" s="98" t="s">
        <v>12</v>
      </c>
      <c r="L9" s="98" t="s">
        <v>13</v>
      </c>
    </row>
    <row r="10" spans="1:12">
      <c r="A10" s="99" t="s">
        <v>65</v>
      </c>
      <c r="B10" s="100"/>
      <c r="C10" s="79"/>
      <c r="D10" s="101"/>
      <c r="E10" s="99"/>
      <c r="F10" s="99" t="s">
        <v>6</v>
      </c>
      <c r="G10" s="99" t="s">
        <v>4</v>
      </c>
      <c r="H10" s="99" t="s">
        <v>4</v>
      </c>
      <c r="I10" s="99" t="s">
        <v>8</v>
      </c>
      <c r="J10" s="99" t="s">
        <v>11</v>
      </c>
      <c r="K10" s="99"/>
      <c r="L10" s="99"/>
    </row>
    <row r="11" spans="1:12">
      <c r="A11" s="102"/>
      <c r="B11" s="103"/>
      <c r="C11" s="104"/>
      <c r="D11" s="105"/>
      <c r="E11" s="102"/>
      <c r="F11" s="102" t="s">
        <v>2</v>
      </c>
      <c r="G11" s="102" t="s">
        <v>7</v>
      </c>
      <c r="H11" s="102" t="s">
        <v>2</v>
      </c>
      <c r="I11" s="102" t="s">
        <v>2</v>
      </c>
      <c r="J11" s="102" t="s">
        <v>2</v>
      </c>
      <c r="K11" s="102" t="s">
        <v>2</v>
      </c>
      <c r="L11" s="102"/>
    </row>
    <row r="12" spans="1:12">
      <c r="A12" s="106">
        <v>1</v>
      </c>
      <c r="B12" s="107" t="s">
        <v>359</v>
      </c>
      <c r="C12" s="108"/>
      <c r="D12" s="109"/>
      <c r="E12" s="106" t="s">
        <v>18</v>
      </c>
      <c r="F12" s="110">
        <v>2102.8000000000002</v>
      </c>
      <c r="G12" s="111">
        <v>0</v>
      </c>
      <c r="H12" s="112">
        <v>0</v>
      </c>
      <c r="I12" s="113">
        <v>0</v>
      </c>
      <c r="J12" s="113">
        <v>0</v>
      </c>
      <c r="K12" s="114">
        <f>ROUND($F$12+$H$12+$I$12+$J$12,2)</f>
        <v>2102.8000000000002</v>
      </c>
      <c r="L12" s="106" t="s">
        <v>243</v>
      </c>
    </row>
    <row r="13" spans="1:12">
      <c r="A13" s="115">
        <v>2</v>
      </c>
      <c r="B13" s="116" t="s">
        <v>241</v>
      </c>
      <c r="C13" s="117"/>
      <c r="D13" s="118"/>
      <c r="E13" s="115" t="s">
        <v>309</v>
      </c>
      <c r="F13" s="119">
        <v>26283.09</v>
      </c>
      <c r="G13" s="119">
        <v>58</v>
      </c>
      <c r="H13" s="112">
        <v>150.15</v>
      </c>
      <c r="I13" s="120">
        <v>0</v>
      </c>
      <c r="J13" s="120">
        <v>4100</v>
      </c>
      <c r="K13" s="121">
        <f>ROUND($F$13+$H$13+$I$13+$J$13,2)</f>
        <v>30533.24</v>
      </c>
      <c r="L13" s="115" t="s">
        <v>243</v>
      </c>
    </row>
    <row r="14" spans="1:12">
      <c r="A14" s="115">
        <v>3</v>
      </c>
      <c r="B14" s="116" t="s">
        <v>283</v>
      </c>
      <c r="C14" s="117"/>
      <c r="D14" s="118"/>
      <c r="E14" s="115" t="s">
        <v>309</v>
      </c>
      <c r="F14" s="119">
        <v>24773.439999999999</v>
      </c>
      <c r="G14" s="119">
        <v>58</v>
      </c>
      <c r="H14" s="112">
        <v>150.15</v>
      </c>
      <c r="I14" s="120">
        <v>0</v>
      </c>
      <c r="J14" s="120">
        <v>4100</v>
      </c>
      <c r="K14" s="121">
        <f>ROUND($F$14+$H$14+$I$14+$J$14,2)</f>
        <v>29023.59</v>
      </c>
      <c r="L14" s="115" t="s">
        <v>243</v>
      </c>
    </row>
    <row r="15" spans="1:12">
      <c r="A15" s="115">
        <v>4</v>
      </c>
      <c r="B15" s="116" t="s">
        <v>119</v>
      </c>
      <c r="C15" s="117"/>
      <c r="D15" s="118"/>
      <c r="E15" s="115" t="s">
        <v>309</v>
      </c>
      <c r="F15" s="119">
        <v>0</v>
      </c>
      <c r="G15" s="119">
        <v>0</v>
      </c>
      <c r="H15" s="112">
        <v>0</v>
      </c>
      <c r="I15" s="120">
        <v>0</v>
      </c>
      <c r="J15" s="120">
        <v>3300</v>
      </c>
      <c r="K15" s="121">
        <f>ROUND($F$15+$H$15+$I$15+$J$15,2)</f>
        <v>3300</v>
      </c>
      <c r="L15" s="115" t="s">
        <v>243</v>
      </c>
    </row>
    <row r="16" spans="1:12">
      <c r="A16" s="115">
        <v>5</v>
      </c>
      <c r="B16" s="116" t="s">
        <v>240</v>
      </c>
      <c r="C16" s="117"/>
      <c r="D16" s="118"/>
      <c r="E16" s="115" t="s">
        <v>309</v>
      </c>
      <c r="F16" s="119">
        <v>0</v>
      </c>
      <c r="G16" s="119">
        <v>0</v>
      </c>
      <c r="H16" s="112">
        <v>0</v>
      </c>
      <c r="I16" s="120">
        <v>0</v>
      </c>
      <c r="J16" s="120">
        <v>0</v>
      </c>
      <c r="K16" s="121">
        <f>ROUND($F$16+$H$16+$I$16+$J$16,2)</f>
        <v>0</v>
      </c>
      <c r="L16" s="115" t="s">
        <v>323</v>
      </c>
    </row>
    <row r="17" spans="1:12">
      <c r="A17" s="115">
        <v>6</v>
      </c>
      <c r="B17" s="116" t="s">
        <v>275</v>
      </c>
      <c r="C17" s="117"/>
      <c r="D17" s="118"/>
      <c r="E17" s="115" t="s">
        <v>309</v>
      </c>
      <c r="F17" s="119">
        <v>23537.200000000001</v>
      </c>
      <c r="G17" s="119">
        <v>58</v>
      </c>
      <c r="H17" s="112">
        <v>150.15</v>
      </c>
      <c r="I17" s="120">
        <v>0</v>
      </c>
      <c r="J17" s="120">
        <v>3300</v>
      </c>
      <c r="K17" s="121">
        <f>ROUND($F$17+$H$17+$I$17+$J$17,2)</f>
        <v>26987.35</v>
      </c>
      <c r="L17" s="115" t="s">
        <v>243</v>
      </c>
    </row>
    <row r="18" spans="1:12">
      <c r="A18" s="115">
        <v>7</v>
      </c>
      <c r="B18" s="116" t="s">
        <v>242</v>
      </c>
      <c r="C18" s="117"/>
      <c r="D18" s="118"/>
      <c r="E18" s="115" t="s">
        <v>106</v>
      </c>
      <c r="F18" s="119">
        <v>46.1</v>
      </c>
      <c r="G18" s="120">
        <v>0</v>
      </c>
      <c r="H18" s="120">
        <v>0</v>
      </c>
      <c r="I18" s="120">
        <v>0</v>
      </c>
      <c r="J18" s="120">
        <v>0</v>
      </c>
      <c r="K18" s="121">
        <f>ROUND($F$18+$H$18+$I$18+$J$18,2)</f>
        <v>46.1</v>
      </c>
      <c r="L18" s="115" t="s">
        <v>243</v>
      </c>
    </row>
    <row r="19" spans="1:12">
      <c r="A19" s="115">
        <v>8</v>
      </c>
      <c r="B19" s="117" t="s">
        <v>158</v>
      </c>
      <c r="C19" s="117"/>
      <c r="D19" s="118"/>
      <c r="E19" s="115" t="s">
        <v>309</v>
      </c>
      <c r="F19" s="119">
        <v>2336.4499999999998</v>
      </c>
      <c r="G19" s="119">
        <v>58</v>
      </c>
      <c r="H19" s="112">
        <v>150.15</v>
      </c>
      <c r="I19" s="120">
        <v>0</v>
      </c>
      <c r="J19" s="120">
        <v>0</v>
      </c>
      <c r="K19" s="121">
        <f>ROUND($F$19+$H$19+$I$19+$J$19,2)</f>
        <v>2486.6</v>
      </c>
      <c r="L19" s="115" t="s">
        <v>243</v>
      </c>
    </row>
    <row r="20" spans="1:12">
      <c r="A20" s="115">
        <v>9</v>
      </c>
      <c r="B20" s="117" t="s">
        <v>159</v>
      </c>
      <c r="C20" s="117"/>
      <c r="D20" s="118"/>
      <c r="E20" s="115" t="s">
        <v>18</v>
      </c>
      <c r="F20" s="119">
        <v>411.26</v>
      </c>
      <c r="G20" s="119">
        <v>58</v>
      </c>
      <c r="H20" s="112">
        <v>210.21</v>
      </c>
      <c r="I20" s="120">
        <v>0</v>
      </c>
      <c r="J20" s="120">
        <v>0</v>
      </c>
      <c r="K20" s="121">
        <f>ROUND($F$20+$H$20+$I$20+$J$20,2)</f>
        <v>621.47</v>
      </c>
      <c r="L20" s="115" t="s">
        <v>243</v>
      </c>
    </row>
    <row r="21" spans="1:12">
      <c r="A21" s="115">
        <v>10</v>
      </c>
      <c r="B21" s="117" t="s">
        <v>160</v>
      </c>
      <c r="C21" s="117"/>
      <c r="D21" s="118"/>
      <c r="E21" s="115" t="s">
        <v>18</v>
      </c>
      <c r="F21" s="119">
        <v>610</v>
      </c>
      <c r="G21" s="119">
        <v>58</v>
      </c>
      <c r="H21" s="112">
        <v>210.21</v>
      </c>
      <c r="I21" s="120">
        <v>0</v>
      </c>
      <c r="J21" s="120">
        <v>0</v>
      </c>
      <c r="K21" s="121">
        <f>ROUND($F$21+$H$21+$I$21+$J$21,2)</f>
        <v>820.21</v>
      </c>
      <c r="L21" s="115" t="s">
        <v>243</v>
      </c>
    </row>
    <row r="22" spans="1:12">
      <c r="A22" s="115">
        <v>11</v>
      </c>
      <c r="B22" s="117" t="s">
        <v>400</v>
      </c>
      <c r="C22" s="117"/>
      <c r="D22" s="118"/>
      <c r="E22" s="115" t="s">
        <v>18</v>
      </c>
      <c r="F22" s="119">
        <v>300</v>
      </c>
      <c r="G22" s="119">
        <v>0</v>
      </c>
      <c r="H22" s="112">
        <v>0</v>
      </c>
      <c r="I22" s="120">
        <v>0</v>
      </c>
      <c r="J22" s="120">
        <v>0</v>
      </c>
      <c r="K22" s="121">
        <f>ROUND($F$22+$H$22+$I$22+$J$22,2)</f>
        <v>300</v>
      </c>
      <c r="L22" s="115" t="s">
        <v>162</v>
      </c>
    </row>
    <row r="23" spans="1:12">
      <c r="A23" s="115">
        <v>12</v>
      </c>
      <c r="B23" s="122" t="s">
        <v>401</v>
      </c>
      <c r="C23" s="117"/>
      <c r="D23" s="118"/>
      <c r="E23" s="115" t="s">
        <v>18</v>
      </c>
      <c r="F23" s="123">
        <v>299.58999999999997</v>
      </c>
      <c r="G23" s="119">
        <v>58</v>
      </c>
      <c r="H23" s="112">
        <v>210.21</v>
      </c>
      <c r="I23" s="120">
        <v>0</v>
      </c>
      <c r="J23" s="120">
        <v>0</v>
      </c>
      <c r="K23" s="121">
        <f>ROUND($F$23+$H$23+$I$23+$J$23,2)</f>
        <v>509.8</v>
      </c>
      <c r="L23" s="115" t="s">
        <v>162</v>
      </c>
    </row>
    <row r="24" spans="1:12">
      <c r="A24" s="115">
        <v>13</v>
      </c>
      <c r="B24" s="124" t="s">
        <v>368</v>
      </c>
      <c r="C24" s="117"/>
      <c r="D24" s="118"/>
      <c r="E24" s="115" t="s">
        <v>161</v>
      </c>
      <c r="F24" s="119">
        <v>0</v>
      </c>
      <c r="G24" s="120">
        <v>0</v>
      </c>
      <c r="H24" s="120">
        <v>0</v>
      </c>
      <c r="I24" s="120">
        <v>0</v>
      </c>
      <c r="J24" s="120">
        <v>0</v>
      </c>
      <c r="K24" s="121">
        <f>ROUND($F$24+$H$24+$I$24+$J$24,2)</f>
        <v>0</v>
      </c>
      <c r="L24" s="115" t="s">
        <v>243</v>
      </c>
    </row>
    <row r="25" spans="1:12">
      <c r="A25" s="115">
        <v>14</v>
      </c>
      <c r="B25" s="124" t="s">
        <v>326</v>
      </c>
      <c r="C25" s="117"/>
      <c r="D25" s="118"/>
      <c r="E25" s="115" t="s">
        <v>161</v>
      </c>
      <c r="F25" s="119">
        <v>0</v>
      </c>
      <c r="G25" s="120">
        <v>0</v>
      </c>
      <c r="H25" s="120">
        <v>0</v>
      </c>
      <c r="I25" s="120">
        <v>0</v>
      </c>
      <c r="J25" s="120">
        <v>0</v>
      </c>
      <c r="K25" s="121">
        <f>ROUND($F$25+$H$25+$I$25+$J$25,2)</f>
        <v>0</v>
      </c>
      <c r="L25" s="115" t="s">
        <v>243</v>
      </c>
    </row>
    <row r="26" spans="1:12">
      <c r="A26" s="115">
        <v>15</v>
      </c>
      <c r="B26" s="117" t="s">
        <v>163</v>
      </c>
      <c r="C26" s="117"/>
      <c r="D26" s="118"/>
      <c r="E26" s="115" t="s">
        <v>164</v>
      </c>
      <c r="F26" s="119">
        <v>1121.5</v>
      </c>
      <c r="G26" s="120">
        <v>0</v>
      </c>
      <c r="H26" s="120">
        <f>H22/35.3147</f>
        <v>0</v>
      </c>
      <c r="I26" s="120">
        <v>0</v>
      </c>
      <c r="J26" s="120">
        <v>0</v>
      </c>
      <c r="K26" s="121">
        <f>ROUND($F$26+$H$26+$I$26+$J$26,2)</f>
        <v>1121.5</v>
      </c>
      <c r="L26" s="115" t="s">
        <v>243</v>
      </c>
    </row>
    <row r="27" spans="1:12">
      <c r="A27" s="115">
        <v>16</v>
      </c>
      <c r="B27" s="117" t="s">
        <v>165</v>
      </c>
      <c r="C27" s="117"/>
      <c r="D27" s="118"/>
      <c r="E27" s="115" t="s">
        <v>164</v>
      </c>
      <c r="F27" s="119">
        <v>794.39</v>
      </c>
      <c r="G27" s="120">
        <v>0</v>
      </c>
      <c r="H27" s="120">
        <f>H22/35.3147</f>
        <v>0</v>
      </c>
      <c r="I27" s="120">
        <v>0</v>
      </c>
      <c r="J27" s="120">
        <v>0</v>
      </c>
      <c r="K27" s="121">
        <f>ROUND($F$27+$H$27+$I$27+$J$27,2)</f>
        <v>794.39</v>
      </c>
      <c r="L27" s="115" t="s">
        <v>243</v>
      </c>
    </row>
    <row r="28" spans="1:12" ht="25.2">
      <c r="A28" s="115">
        <v>17</v>
      </c>
      <c r="B28" s="117" t="s">
        <v>339</v>
      </c>
      <c r="C28" s="117"/>
      <c r="D28" s="118"/>
      <c r="E28" s="115" t="s">
        <v>161</v>
      </c>
      <c r="F28" s="119">
        <v>0</v>
      </c>
      <c r="G28" s="120">
        <v>0</v>
      </c>
      <c r="H28" s="120">
        <v>0</v>
      </c>
      <c r="I28" s="120">
        <v>0</v>
      </c>
      <c r="J28" s="120">
        <v>0</v>
      </c>
      <c r="K28" s="121">
        <f>ROUND($F$28+$H$28+$I$28+$J$28,2)</f>
        <v>0</v>
      </c>
      <c r="L28" s="115"/>
    </row>
    <row r="29" spans="1:12">
      <c r="A29" s="115">
        <v>18</v>
      </c>
      <c r="B29" s="125" t="s">
        <v>166</v>
      </c>
      <c r="C29" s="117"/>
      <c r="D29" s="118"/>
      <c r="E29" s="115" t="s">
        <v>106</v>
      </c>
      <c r="F29" s="119">
        <v>44.39</v>
      </c>
      <c r="G29" s="120">
        <v>0</v>
      </c>
      <c r="H29" s="120">
        <v>0</v>
      </c>
      <c r="I29" s="120">
        <v>0</v>
      </c>
      <c r="J29" s="120">
        <v>0</v>
      </c>
      <c r="K29" s="121">
        <f>ROUND($F$29+$H$29+$I$29+$J$29,2)</f>
        <v>44.39</v>
      </c>
      <c r="L29" s="115" t="s">
        <v>402</v>
      </c>
    </row>
    <row r="30" spans="1:12">
      <c r="A30" s="115">
        <v>19</v>
      </c>
      <c r="B30" s="125" t="s">
        <v>289</v>
      </c>
      <c r="C30" s="117"/>
      <c r="D30" s="118"/>
      <c r="E30" s="115" t="s">
        <v>161</v>
      </c>
      <c r="F30" s="119">
        <v>486.85</v>
      </c>
      <c r="G30" s="120">
        <v>0</v>
      </c>
      <c r="H30" s="120">
        <v>0</v>
      </c>
      <c r="I30" s="120">
        <v>0</v>
      </c>
      <c r="J30" s="120">
        <v>0</v>
      </c>
      <c r="K30" s="121">
        <f>ROUND($F$30+$H$30+$I$30+$J$30,2)</f>
        <v>486.85</v>
      </c>
      <c r="L30" s="115" t="s">
        <v>162</v>
      </c>
    </row>
    <row r="31" spans="1:12">
      <c r="A31" s="115">
        <v>20</v>
      </c>
      <c r="B31" s="125" t="s">
        <v>299</v>
      </c>
      <c r="C31" s="117"/>
      <c r="D31" s="118"/>
      <c r="E31" s="115" t="s">
        <v>161</v>
      </c>
      <c r="F31" s="119">
        <v>0</v>
      </c>
      <c r="G31" s="120">
        <v>0</v>
      </c>
      <c r="H31" s="120">
        <v>0</v>
      </c>
      <c r="I31" s="120">
        <v>0</v>
      </c>
      <c r="J31" s="120">
        <v>0</v>
      </c>
      <c r="K31" s="121">
        <f>ROUND($F$31+$H$31+$I$31+$J$31,2)</f>
        <v>0</v>
      </c>
      <c r="L31" s="115"/>
    </row>
    <row r="32" spans="1:12">
      <c r="A32" s="115">
        <v>21</v>
      </c>
      <c r="B32" s="125" t="s">
        <v>307</v>
      </c>
      <c r="C32" s="117"/>
      <c r="D32" s="118"/>
      <c r="E32" s="115" t="s">
        <v>161</v>
      </c>
      <c r="F32" s="119">
        <v>0</v>
      </c>
      <c r="G32" s="120">
        <v>0</v>
      </c>
      <c r="H32" s="120">
        <v>0</v>
      </c>
      <c r="I32" s="120">
        <v>0</v>
      </c>
      <c r="J32" s="120">
        <v>0</v>
      </c>
      <c r="K32" s="121">
        <f>ROUND($F$32+$H$32+$I$32+$J$32,2)</f>
        <v>0</v>
      </c>
      <c r="L32" s="115"/>
    </row>
    <row r="33" spans="1:12">
      <c r="A33" s="115">
        <v>22</v>
      </c>
      <c r="B33" s="126" t="s">
        <v>403</v>
      </c>
      <c r="C33" s="117"/>
      <c r="D33" s="118"/>
      <c r="E33" s="115" t="s">
        <v>161</v>
      </c>
      <c r="F33" s="119">
        <v>109.66</v>
      </c>
      <c r="G33" s="120">
        <v>0</v>
      </c>
      <c r="H33" s="120">
        <v>0</v>
      </c>
      <c r="I33" s="120">
        <v>0</v>
      </c>
      <c r="J33" s="120">
        <v>0</v>
      </c>
      <c r="K33" s="121">
        <f>ROUND($F$33+$H$33+$I$33+$J$33,2)</f>
        <v>109.66</v>
      </c>
      <c r="L33" s="115" t="s">
        <v>243</v>
      </c>
    </row>
    <row r="34" spans="1:12">
      <c r="A34" s="115">
        <v>23</v>
      </c>
      <c r="B34" s="126" t="s">
        <v>399</v>
      </c>
      <c r="C34" s="117"/>
      <c r="D34" s="118"/>
      <c r="E34" s="115" t="s">
        <v>397</v>
      </c>
      <c r="F34" s="119">
        <v>46.73</v>
      </c>
      <c r="G34" s="120">
        <v>0</v>
      </c>
      <c r="H34" s="120">
        <v>0</v>
      </c>
      <c r="I34" s="120">
        <v>0</v>
      </c>
      <c r="J34" s="120">
        <v>0</v>
      </c>
      <c r="K34" s="121">
        <f>ROUND($F$34+$H$34+$I$34+$J$34,2)</f>
        <v>46.73</v>
      </c>
      <c r="L34" s="115" t="s">
        <v>243</v>
      </c>
    </row>
    <row r="35" spans="1:12">
      <c r="A35" s="115"/>
      <c r="B35" s="117"/>
      <c r="C35" s="117"/>
      <c r="D35" s="118"/>
      <c r="E35" s="115"/>
      <c r="F35" s="119"/>
      <c r="G35" s="120"/>
      <c r="H35" s="120"/>
      <c r="I35" s="120"/>
      <c r="J35" s="120"/>
      <c r="K35" s="121"/>
      <c r="L35" s="115"/>
    </row>
    <row r="36" spans="1:12">
      <c r="A36" s="115"/>
      <c r="B36" s="117"/>
      <c r="C36" s="117"/>
      <c r="D36" s="118"/>
      <c r="E36" s="115"/>
      <c r="F36" s="119"/>
      <c r="G36" s="120"/>
      <c r="H36" s="120"/>
      <c r="I36" s="120"/>
      <c r="J36" s="120"/>
      <c r="K36" s="121"/>
      <c r="L36" s="115"/>
    </row>
    <row r="37" spans="1:12">
      <c r="A37" s="115"/>
      <c r="B37" s="117"/>
      <c r="C37" s="117"/>
      <c r="D37" s="118"/>
      <c r="E37" s="115"/>
      <c r="F37" s="119"/>
      <c r="G37" s="120"/>
      <c r="H37" s="120"/>
      <c r="I37" s="120"/>
      <c r="J37" s="120"/>
      <c r="K37" s="121"/>
      <c r="L37" s="115"/>
    </row>
    <row r="38" spans="1:12">
      <c r="A38" s="115"/>
      <c r="B38" s="117"/>
      <c r="C38" s="117"/>
      <c r="D38" s="118"/>
      <c r="E38" s="115"/>
      <c r="F38" s="119"/>
      <c r="G38" s="120"/>
      <c r="H38" s="120"/>
      <c r="I38" s="120"/>
      <c r="J38" s="120"/>
      <c r="K38" s="121"/>
      <c r="L38" s="115"/>
    </row>
    <row r="39" spans="1:12">
      <c r="A39" s="127"/>
      <c r="B39" s="128"/>
      <c r="C39" s="129"/>
      <c r="D39" s="130"/>
      <c r="E39" s="131"/>
      <c r="F39" s="132"/>
      <c r="G39" s="131"/>
      <c r="H39" s="131"/>
      <c r="I39" s="131"/>
      <c r="J39" s="131"/>
      <c r="K39" s="131"/>
      <c r="L39" s="131"/>
    </row>
    <row r="40" spans="1:12">
      <c r="A40" s="79"/>
    </row>
  </sheetData>
  <mergeCells count="3">
    <mergeCell ref="A1:L1"/>
    <mergeCell ref="B9:D9"/>
    <mergeCell ref="C5:L5"/>
  </mergeCells>
  <printOptions horizontalCentered="1"/>
  <pageMargins left="0.59055118110236227" right="0" top="0.59055118110236227" bottom="0.19685039370078741" header="0.31496062992125984" footer="0.31496062992125984"/>
  <pageSetup paperSize="9" scale="71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R83"/>
  <sheetViews>
    <sheetView tabSelected="1" view="pageBreakPreview" topLeftCell="A21" zoomScaleNormal="100" zoomScaleSheetLayoutView="100" workbookViewId="0">
      <selection activeCell="Q27" sqref="Q27"/>
    </sheetView>
  </sheetViews>
  <sheetFormatPr defaultColWidth="9" defaultRowHeight="23.4"/>
  <cols>
    <col min="1" max="1" width="5.44140625" style="80" customWidth="1"/>
    <col min="2" max="2" width="9" style="80"/>
    <col min="3" max="3" width="14.88671875" style="80" customWidth="1"/>
    <col min="4" max="4" width="8.44140625" style="80" customWidth="1"/>
    <col min="5" max="5" width="26" style="80" customWidth="1"/>
    <col min="6" max="6" width="5.77734375" style="80" customWidth="1"/>
    <col min="7" max="7" width="8.33203125" style="92" customWidth="1"/>
    <col min="8" max="8" width="5.77734375" style="80" customWidth="1"/>
    <col min="9" max="9" width="3.77734375" style="80" customWidth="1"/>
    <col min="10" max="10" width="5.6640625" style="80" customWidth="1"/>
    <col min="11" max="11" width="4.77734375" style="80" customWidth="1"/>
    <col min="12" max="12" width="6.88671875" style="80" customWidth="1"/>
    <col min="13" max="13" width="12.5546875" style="80" customWidth="1"/>
    <col min="14" max="14" width="12.109375" style="80" customWidth="1"/>
    <col min="15" max="15" width="10.88671875" style="80" bestFit="1" customWidth="1"/>
    <col min="16" max="16" width="14.109375" style="80" customWidth="1"/>
    <col min="17" max="16384" width="9" style="80"/>
  </cols>
  <sheetData>
    <row r="1" spans="1:18">
      <c r="A1" s="287" t="s">
        <v>308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</row>
    <row r="2" spans="1:18">
      <c r="A2" s="81" t="str">
        <f>'1.ค่าวัสดุและดำเนินการ'!A2</f>
        <v>ส่วนราชการ  :</v>
      </c>
      <c r="C2" s="81" t="str">
        <f>'1.ค่าวัสดุและดำเนินการ'!C2</f>
        <v>กองช่าง  องค์การบริหารส่วนตำบลป่ากลาง  อำเภอปัว  จังหวัดน่าน</v>
      </c>
    </row>
    <row r="3" spans="1:18">
      <c r="A3" s="80" t="str">
        <f>'1.ค่าวัสดุและดำเนินการ'!A3</f>
        <v xml:space="preserve">โครงการ      : </v>
      </c>
      <c r="C3" s="80" t="str">
        <f>'1.ค่าวัสดุและดำเนินการ'!C3</f>
        <v xml:space="preserve">ก่อสร้างรางระบายน้ำพร้อมบ่อซึมเพื่อแก้ปัญหาน้ำท่วมขังซอยบ้านนายพิภบ บ้านสวนทราย  หมู่ที่ 6 </v>
      </c>
    </row>
    <row r="4" spans="1:18">
      <c r="A4" s="80" t="str">
        <f>'1.ค่าวัสดุและดำเนินการ'!A4</f>
        <v xml:space="preserve">แบบก่อสร้าง : </v>
      </c>
      <c r="C4" s="80" t="str">
        <f>'1.ค่าวัสดุและดำเนินการ'!C4</f>
        <v>แบบอบต.ป่ากลาง เลขที่  - จำนวน  -   แผ่น</v>
      </c>
    </row>
    <row r="5" spans="1:18" ht="43.2" customHeight="1">
      <c r="A5" s="82" t="str">
        <f>'1.ค่าวัสดุและดำเนินการ'!A5</f>
        <v>ปริมาณงาน   :</v>
      </c>
      <c r="C5" s="291" t="str">
        <f>'1.ค่าวัสดุและดำเนินการ'!C5</f>
        <v>ก่อสร้างรางระบายน้ำคอนกรีตเสริมเหล็กขนาดภายในกว้าง 0.30 เมตร  ลึก 0.30-0.80 เมตร ความยาวรวม 135.00 เมตร พร้อมบ่อซึมจำนวน 1 บ่อ  ตามแบบ อบต.ป่ากลาง</v>
      </c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1"/>
    </row>
    <row r="6" spans="1:18">
      <c r="A6" s="80" t="str">
        <f>'1.ค่าวัสดุและดำเนินการ'!A6</f>
        <v xml:space="preserve">ที่ตั้งโครงการ : </v>
      </c>
      <c r="C6" s="80" t="str">
        <f>'1.ค่าวัสดุและดำเนินการ'!C6</f>
        <v>ซอยบ้านนายพิภบ  บ้านสวนทราย  หมู่ที่ 6  ตำบลป่ากลาง  อำเภอปัว  จังหวัดน่าน</v>
      </c>
    </row>
    <row r="7" spans="1:18">
      <c r="A7" s="80" t="str">
        <f>'1.ค่าวัสดุและดำเนินการ'!A7</f>
        <v>เงินล่วงหน้าจ่าย   0  %</v>
      </c>
      <c r="I7" s="83" t="str">
        <f>'1.ค่าวัสดุและดำเนินการ'!F7</f>
        <v>อัตราดอกเบี้ยเงินกู้ (MLR)   7 %</v>
      </c>
      <c r="J7" s="83"/>
      <c r="L7" s="80" t="str">
        <f>'1.ค่าวัสดุและดำเนินการ'!J7</f>
        <v>เงินประกันผลงานหัก        0 %</v>
      </c>
      <c r="O7" s="83" t="s">
        <v>316</v>
      </c>
      <c r="P7" s="80">
        <v>4</v>
      </c>
      <c r="Q7" s="80">
        <v>0.5</v>
      </c>
      <c r="R7" s="80">
        <v>0.3</v>
      </c>
    </row>
    <row r="8" spans="1:18">
      <c r="A8" s="80" t="str">
        <f>'1.ค่าวัสดุและดำเนินการ'!A8</f>
        <v>ภาษีมูลค่าเพิ่ม     7  %</v>
      </c>
      <c r="E8" s="281"/>
      <c r="F8" s="281"/>
      <c r="G8" s="281"/>
      <c r="H8" s="281"/>
      <c r="I8" s="281"/>
      <c r="J8" s="281"/>
      <c r="K8" s="281"/>
      <c r="L8" s="281"/>
      <c r="M8" s="281"/>
      <c r="N8" s="83" t="str">
        <f>'1.ค่าวัสดุและดำเนินการ'!F8</f>
        <v>เขตฝนตกปกติ   ราคาน้ำมันโซล่าเฉลี่ยที่อำเภอเมือง  32.63  (32.00 - 32.99)   บาท/ลิตร</v>
      </c>
      <c r="O8" s="83" t="s">
        <v>317</v>
      </c>
      <c r="P8" s="80">
        <v>96</v>
      </c>
      <c r="R8" s="80">
        <v>0.2</v>
      </c>
    </row>
    <row r="9" spans="1:18">
      <c r="A9" s="80" t="s">
        <v>406</v>
      </c>
      <c r="G9" s="92" t="s">
        <v>353</v>
      </c>
      <c r="O9" s="83" t="s">
        <v>318</v>
      </c>
      <c r="P9" s="80">
        <f>P7*P8</f>
        <v>384</v>
      </c>
      <c r="Q9" s="83" t="s">
        <v>319</v>
      </c>
      <c r="R9" s="80">
        <v>0</v>
      </c>
    </row>
    <row r="10" spans="1:18">
      <c r="A10" s="295" t="s">
        <v>21</v>
      </c>
      <c r="B10" s="297" t="s">
        <v>0</v>
      </c>
      <c r="C10" s="297"/>
      <c r="D10" s="297"/>
      <c r="E10" s="298"/>
      <c r="F10" s="295" t="s">
        <v>1</v>
      </c>
      <c r="G10" s="301" t="s">
        <v>22</v>
      </c>
      <c r="H10" s="303" t="s">
        <v>62</v>
      </c>
      <c r="I10" s="304"/>
      <c r="J10" s="303" t="s">
        <v>23</v>
      </c>
      <c r="K10" s="304"/>
      <c r="L10" s="307" t="s">
        <v>24</v>
      </c>
      <c r="M10" s="84" t="s">
        <v>25</v>
      </c>
      <c r="N10" s="307" t="s">
        <v>71</v>
      </c>
    </row>
    <row r="11" spans="1:18">
      <c r="A11" s="296"/>
      <c r="B11" s="299"/>
      <c r="C11" s="299"/>
      <c r="D11" s="299"/>
      <c r="E11" s="300"/>
      <c r="F11" s="296"/>
      <c r="G11" s="302"/>
      <c r="H11" s="305" t="s">
        <v>63</v>
      </c>
      <c r="I11" s="306"/>
      <c r="J11" s="305"/>
      <c r="K11" s="306"/>
      <c r="L11" s="308"/>
      <c r="M11" s="85" t="s">
        <v>26</v>
      </c>
      <c r="N11" s="308"/>
    </row>
    <row r="12" spans="1:18">
      <c r="A12" s="266">
        <v>1</v>
      </c>
      <c r="B12" s="267" t="s">
        <v>365</v>
      </c>
      <c r="C12" s="268"/>
      <c r="D12" s="268"/>
      <c r="E12" s="269"/>
      <c r="F12" s="266"/>
      <c r="G12" s="277"/>
      <c r="H12" s="292"/>
      <c r="I12" s="293"/>
      <c r="J12" s="292"/>
      <c r="K12" s="293"/>
      <c r="L12" s="270"/>
      <c r="M12" s="275"/>
      <c r="N12" s="272"/>
    </row>
    <row r="13" spans="1:18">
      <c r="A13" s="266"/>
      <c r="B13" s="267" t="s">
        <v>376</v>
      </c>
      <c r="C13" s="268"/>
      <c r="D13" s="268"/>
      <c r="E13" s="269"/>
      <c r="F13" s="266" t="s">
        <v>31</v>
      </c>
      <c r="G13" s="277">
        <v>10</v>
      </c>
      <c r="H13" s="292">
        <f>ราง!O14</f>
        <v>1041</v>
      </c>
      <c r="I13" s="293"/>
      <c r="J13" s="292">
        <f t="shared" ref="J13:J16" si="0">ROUND(H13*G13,2)</f>
        <v>10410</v>
      </c>
      <c r="K13" s="293"/>
      <c r="L13" s="270">
        <f>$J$35</f>
        <v>1.3642000000000001</v>
      </c>
      <c r="M13" s="275">
        <f t="shared" ref="M13" si="1">ROUND(H13*L13,2)</f>
        <v>1420.13</v>
      </c>
      <c r="N13" s="272">
        <f t="shared" ref="N13:N16" si="2">ROUND(J13*L13,2)</f>
        <v>14201.32</v>
      </c>
    </row>
    <row r="14" spans="1:18">
      <c r="A14" s="266"/>
      <c r="B14" s="267" t="s">
        <v>377</v>
      </c>
      <c r="C14" s="268"/>
      <c r="D14" s="268"/>
      <c r="E14" s="269"/>
      <c r="F14" s="266" t="s">
        <v>31</v>
      </c>
      <c r="G14" s="277">
        <v>77</v>
      </c>
      <c r="H14" s="292">
        <f>ราง!O28</f>
        <v>1339</v>
      </c>
      <c r="I14" s="293"/>
      <c r="J14" s="292">
        <f t="shared" ref="J14:J15" si="3">ROUND(H14*G14,2)</f>
        <v>103103</v>
      </c>
      <c r="K14" s="293"/>
      <c r="L14" s="270">
        <f>$J$35</f>
        <v>1.3642000000000001</v>
      </c>
      <c r="M14" s="275">
        <f t="shared" ref="M14:M15" si="4">ROUND(H14*L14,2)</f>
        <v>1826.66</v>
      </c>
      <c r="N14" s="272">
        <f t="shared" ref="N14:N15" si="5">ROUND(J14*L14,2)</f>
        <v>140653.10999999999</v>
      </c>
    </row>
    <row r="15" spans="1:18">
      <c r="A15" s="266"/>
      <c r="B15" s="267" t="s">
        <v>378</v>
      </c>
      <c r="C15" s="268"/>
      <c r="D15" s="268"/>
      <c r="E15" s="269"/>
      <c r="F15" s="266" t="s">
        <v>31</v>
      </c>
      <c r="G15" s="277">
        <v>48.5</v>
      </c>
      <c r="H15" s="292">
        <f>ราง!O42</f>
        <v>1339</v>
      </c>
      <c r="I15" s="293"/>
      <c r="J15" s="292">
        <f t="shared" si="3"/>
        <v>64941.5</v>
      </c>
      <c r="K15" s="293"/>
      <c r="L15" s="270">
        <f>$J$35</f>
        <v>1.3642000000000001</v>
      </c>
      <c r="M15" s="275">
        <f t="shared" si="4"/>
        <v>1826.66</v>
      </c>
      <c r="N15" s="272">
        <f t="shared" si="5"/>
        <v>88593.19</v>
      </c>
    </row>
    <row r="16" spans="1:18">
      <c r="A16" s="266"/>
      <c r="B16" s="267" t="s">
        <v>366</v>
      </c>
      <c r="C16" s="268"/>
      <c r="D16" s="268"/>
      <c r="E16" s="269"/>
      <c r="F16" s="266" t="s">
        <v>216</v>
      </c>
      <c r="G16" s="277">
        <v>337</v>
      </c>
      <c r="H16" s="292">
        <f>ราง!O54</f>
        <v>340</v>
      </c>
      <c r="I16" s="293"/>
      <c r="J16" s="292">
        <f t="shared" si="0"/>
        <v>114580</v>
      </c>
      <c r="K16" s="293"/>
      <c r="L16" s="270">
        <f>$J$35</f>
        <v>1.3642000000000001</v>
      </c>
      <c r="M16" s="275">
        <f>ROUND(H16*L16,2)</f>
        <v>463.83</v>
      </c>
      <c r="N16" s="272">
        <f t="shared" si="2"/>
        <v>156310.04</v>
      </c>
    </row>
    <row r="17" spans="1:16">
      <c r="A17" s="266">
        <v>2</v>
      </c>
      <c r="B17" s="267" t="s">
        <v>387</v>
      </c>
      <c r="C17" s="268"/>
      <c r="D17" s="268"/>
      <c r="E17" s="269"/>
      <c r="F17" s="266"/>
      <c r="G17" s="277"/>
      <c r="H17" s="292"/>
      <c r="I17" s="293"/>
      <c r="J17" s="292"/>
      <c r="K17" s="293"/>
      <c r="L17" s="270"/>
      <c r="M17" s="271"/>
      <c r="N17" s="272"/>
    </row>
    <row r="18" spans="1:16">
      <c r="A18" s="266"/>
      <c r="B18" s="267" t="s">
        <v>388</v>
      </c>
      <c r="C18" s="268"/>
      <c r="D18" s="268"/>
      <c r="E18" s="269"/>
      <c r="F18" s="266" t="s">
        <v>18</v>
      </c>
      <c r="G18" s="277">
        <v>7.8</v>
      </c>
      <c r="H18" s="294">
        <v>21.84</v>
      </c>
      <c r="I18" s="294"/>
      <c r="J18" s="292">
        <f t="shared" ref="J18" si="6">ROUND(H18*G18,2)</f>
        <v>170.35</v>
      </c>
      <c r="K18" s="293"/>
      <c r="L18" s="270">
        <f t="shared" ref="L18:L28" si="7">$J$35</f>
        <v>1.3642000000000001</v>
      </c>
      <c r="M18" s="271">
        <f t="shared" ref="M18" si="8">ROUND(H18*L18,2)</f>
        <v>29.79</v>
      </c>
      <c r="N18" s="272">
        <f t="shared" ref="N18" si="9">ROUND(J18*L18,2)</f>
        <v>232.39</v>
      </c>
    </row>
    <row r="19" spans="1:16">
      <c r="A19" s="266"/>
      <c r="B19" s="267" t="s">
        <v>389</v>
      </c>
      <c r="C19" s="268"/>
      <c r="D19" s="268"/>
      <c r="E19" s="269"/>
      <c r="F19" s="266" t="s">
        <v>18</v>
      </c>
      <c r="G19" s="277">
        <v>4.9000000000000004</v>
      </c>
      <c r="H19" s="319">
        <f>'1.ค่าวัสดุและดำเนินการ'!K22</f>
        <v>300</v>
      </c>
      <c r="I19" s="320"/>
      <c r="J19" s="292">
        <f t="shared" ref="J19:J26" si="10">ROUND(H19*G19,2)</f>
        <v>1470</v>
      </c>
      <c r="K19" s="293"/>
      <c r="L19" s="270">
        <f t="shared" si="7"/>
        <v>1.3642000000000001</v>
      </c>
      <c r="M19" s="279">
        <f t="shared" ref="M19:M26" si="11">ROUND(H19*L19,2)</f>
        <v>409.26</v>
      </c>
      <c r="N19" s="272">
        <f t="shared" ref="N19:N26" si="12">ROUND(J19*L19,2)</f>
        <v>2005.37</v>
      </c>
    </row>
    <row r="20" spans="1:16">
      <c r="A20" s="266"/>
      <c r="B20" s="267" t="s">
        <v>390</v>
      </c>
      <c r="C20" s="268"/>
      <c r="D20" s="268"/>
      <c r="E20" s="269"/>
      <c r="F20" s="266" t="s">
        <v>18</v>
      </c>
      <c r="G20" s="277">
        <v>0.3</v>
      </c>
      <c r="H20" s="319">
        <f>'1.ค่าวัสดุและดำเนินการ'!K23</f>
        <v>509.8</v>
      </c>
      <c r="I20" s="320"/>
      <c r="J20" s="292">
        <f t="shared" si="10"/>
        <v>152.94</v>
      </c>
      <c r="K20" s="293"/>
      <c r="L20" s="270">
        <f t="shared" si="7"/>
        <v>1.3642000000000001</v>
      </c>
      <c r="M20" s="279">
        <f t="shared" si="11"/>
        <v>695.47</v>
      </c>
      <c r="N20" s="272">
        <f t="shared" si="12"/>
        <v>208.64</v>
      </c>
    </row>
    <row r="21" spans="1:16">
      <c r="A21" s="266"/>
      <c r="B21" s="267" t="s">
        <v>391</v>
      </c>
      <c r="C21" s="268"/>
      <c r="D21" s="268"/>
      <c r="E21" s="269"/>
      <c r="F21" s="266" t="s">
        <v>18</v>
      </c>
      <c r="G21" s="277">
        <v>0.79</v>
      </c>
      <c r="H21" s="319">
        <f>'1.ค่าวัสดุและดำเนินการ'!K12</f>
        <v>2102.8000000000002</v>
      </c>
      <c r="I21" s="320"/>
      <c r="J21" s="292">
        <f t="shared" si="10"/>
        <v>1661.21</v>
      </c>
      <c r="K21" s="293"/>
      <c r="L21" s="270">
        <f t="shared" si="7"/>
        <v>1.3642000000000001</v>
      </c>
      <c r="M21" s="279">
        <f t="shared" si="11"/>
        <v>2868.64</v>
      </c>
      <c r="N21" s="272">
        <f t="shared" si="12"/>
        <v>2266.2199999999998</v>
      </c>
    </row>
    <row r="22" spans="1:16">
      <c r="A22" s="266"/>
      <c r="B22" s="267" t="s">
        <v>394</v>
      </c>
      <c r="C22" s="268"/>
      <c r="D22" s="268"/>
      <c r="E22" s="269"/>
      <c r="F22" s="266" t="s">
        <v>20</v>
      </c>
      <c r="G22" s="277">
        <v>2.7</v>
      </c>
      <c r="H22" s="319">
        <f>แบบหล่อคอนกรีต!G24</f>
        <v>416</v>
      </c>
      <c r="I22" s="320"/>
      <c r="J22" s="292">
        <f t="shared" ref="J22" si="13">ROUND(H22*G22,2)</f>
        <v>1123.2</v>
      </c>
      <c r="K22" s="293"/>
      <c r="L22" s="270">
        <f t="shared" si="7"/>
        <v>1.3642000000000001</v>
      </c>
      <c r="M22" s="279">
        <f t="shared" ref="M22" si="14">ROUND(H22*L22,2)</f>
        <v>567.51</v>
      </c>
      <c r="N22" s="272">
        <f t="shared" ref="N22" si="15">ROUND(J22*L22,2)</f>
        <v>1532.27</v>
      </c>
    </row>
    <row r="23" spans="1:16">
      <c r="A23" s="266"/>
      <c r="B23" s="267" t="s">
        <v>392</v>
      </c>
      <c r="C23" s="268"/>
      <c r="D23" s="268"/>
      <c r="E23" s="269"/>
      <c r="F23" s="266" t="s">
        <v>395</v>
      </c>
      <c r="G23" s="277">
        <v>14.8</v>
      </c>
      <c r="H23" s="319">
        <f>ROUND('1.ค่าวัสดุและดำเนินการ'!K13/1000,2)</f>
        <v>30.53</v>
      </c>
      <c r="I23" s="320"/>
      <c r="J23" s="292">
        <f t="shared" si="10"/>
        <v>451.84</v>
      </c>
      <c r="K23" s="293"/>
      <c r="L23" s="270">
        <f t="shared" si="7"/>
        <v>1.3642000000000001</v>
      </c>
      <c r="M23" s="279">
        <f t="shared" si="11"/>
        <v>41.65</v>
      </c>
      <c r="N23" s="272">
        <f t="shared" si="12"/>
        <v>616.4</v>
      </c>
    </row>
    <row r="24" spans="1:16">
      <c r="A24" s="266"/>
      <c r="B24" s="267" t="s">
        <v>393</v>
      </c>
      <c r="C24" s="268"/>
      <c r="D24" s="268"/>
      <c r="E24" s="269"/>
      <c r="F24" s="266" t="s">
        <v>395</v>
      </c>
      <c r="G24" s="277">
        <v>41</v>
      </c>
      <c r="H24" s="319">
        <f>ROUND('1.ค่าวัสดุและดำเนินการ'!K14/1000,2)</f>
        <v>29.02</v>
      </c>
      <c r="I24" s="320"/>
      <c r="J24" s="292">
        <f t="shared" si="10"/>
        <v>1189.82</v>
      </c>
      <c r="K24" s="293"/>
      <c r="L24" s="270">
        <f t="shared" si="7"/>
        <v>1.3642000000000001</v>
      </c>
      <c r="M24" s="279">
        <f t="shared" si="11"/>
        <v>39.590000000000003</v>
      </c>
      <c r="N24" s="272">
        <f t="shared" si="12"/>
        <v>1623.15</v>
      </c>
    </row>
    <row r="25" spans="1:16">
      <c r="A25" s="266"/>
      <c r="B25" s="267" t="s">
        <v>404</v>
      </c>
      <c r="C25" s="268"/>
      <c r="D25" s="268"/>
      <c r="E25" s="269"/>
      <c r="F25" s="266" t="s">
        <v>395</v>
      </c>
      <c r="G25" s="277">
        <v>24.98</v>
      </c>
      <c r="H25" s="319">
        <f>ROUND('1.ค่าวัสดุและดำเนินการ'!K17/1000,2)</f>
        <v>26.99</v>
      </c>
      <c r="I25" s="320"/>
      <c r="J25" s="292">
        <f t="shared" ref="J25" si="16">ROUND(H25*G25,2)</f>
        <v>674.21</v>
      </c>
      <c r="K25" s="293"/>
      <c r="L25" s="270">
        <f t="shared" si="7"/>
        <v>1.3642000000000001</v>
      </c>
      <c r="M25" s="284">
        <f t="shared" ref="M25" si="17">ROUND(H25*L25,2)</f>
        <v>36.82</v>
      </c>
      <c r="N25" s="272">
        <f t="shared" ref="N25" si="18">ROUND(J25*L25,2)</f>
        <v>919.76</v>
      </c>
    </row>
    <row r="26" spans="1:16">
      <c r="A26" s="408"/>
      <c r="B26" s="409" t="s">
        <v>396</v>
      </c>
      <c r="C26" s="410"/>
      <c r="D26" s="410"/>
      <c r="E26" s="411"/>
      <c r="F26" s="408" t="s">
        <v>161</v>
      </c>
      <c r="G26" s="412">
        <v>1.4</v>
      </c>
      <c r="H26" s="430">
        <f>'1.ค่าวัสดุและดำเนินการ'!K33</f>
        <v>109.66</v>
      </c>
      <c r="I26" s="431"/>
      <c r="J26" s="413">
        <f t="shared" si="10"/>
        <v>153.52000000000001</v>
      </c>
      <c r="K26" s="414"/>
      <c r="L26" s="415">
        <f t="shared" si="7"/>
        <v>1.3642000000000001</v>
      </c>
      <c r="M26" s="416">
        <f t="shared" si="11"/>
        <v>149.6</v>
      </c>
      <c r="N26" s="417">
        <f t="shared" si="12"/>
        <v>209.43</v>
      </c>
    </row>
    <row r="27" spans="1:16">
      <c r="A27" s="418"/>
      <c r="B27" s="419" t="s">
        <v>398</v>
      </c>
      <c r="C27" s="420"/>
      <c r="D27" s="420"/>
      <c r="E27" s="421"/>
      <c r="F27" s="418" t="s">
        <v>397</v>
      </c>
      <c r="G27" s="422">
        <v>1</v>
      </c>
      <c r="H27" s="423">
        <f>'1.ค่าวัสดุและดำเนินการ'!K34</f>
        <v>46.73</v>
      </c>
      <c r="I27" s="424"/>
      <c r="J27" s="425">
        <f t="shared" ref="J27" si="19">ROUND(H27*G27,2)</f>
        <v>46.73</v>
      </c>
      <c r="K27" s="426"/>
      <c r="L27" s="427">
        <f t="shared" si="7"/>
        <v>1.3642000000000001</v>
      </c>
      <c r="M27" s="428">
        <f t="shared" ref="M27" si="20">ROUND(H27*L27,2)</f>
        <v>63.75</v>
      </c>
      <c r="N27" s="429">
        <f t="shared" ref="N27" si="21">ROUND(J27*L27,2)</f>
        <v>63.75</v>
      </c>
    </row>
    <row r="28" spans="1:16">
      <c r="A28" s="266"/>
      <c r="B28" s="267" t="s">
        <v>405</v>
      </c>
      <c r="C28" s="268"/>
      <c r="D28" s="268"/>
      <c r="E28" s="269"/>
      <c r="F28" s="266" t="s">
        <v>395</v>
      </c>
      <c r="G28" s="277">
        <v>73.94</v>
      </c>
      <c r="H28" s="321">
        <f>ROUND('1.ค่าวัสดุและดำเนินการ'!K30/18.362,2)</f>
        <v>26.51</v>
      </c>
      <c r="I28" s="321"/>
      <c r="J28" s="292">
        <f t="shared" ref="J28" si="22">ROUND(H28*G28,2)</f>
        <v>1960.15</v>
      </c>
      <c r="K28" s="293"/>
      <c r="L28" s="270">
        <f t="shared" si="7"/>
        <v>1.3642000000000001</v>
      </c>
      <c r="M28" s="284">
        <f t="shared" ref="M28" si="23">ROUND(H28*L28,2)</f>
        <v>36.159999999999997</v>
      </c>
      <c r="N28" s="272">
        <f t="shared" ref="N28" si="24">ROUND(J28*L28,2)</f>
        <v>2674.04</v>
      </c>
    </row>
    <row r="29" spans="1:16">
      <c r="A29" s="408">
        <v>3</v>
      </c>
      <c r="B29" s="409" t="s">
        <v>70</v>
      </c>
      <c r="C29" s="410"/>
      <c r="D29" s="410"/>
      <c r="E29" s="411"/>
      <c r="F29" s="408"/>
      <c r="G29" s="412"/>
      <c r="H29" s="413"/>
      <c r="I29" s="414"/>
      <c r="J29" s="413"/>
      <c r="K29" s="414"/>
      <c r="L29" s="415"/>
      <c r="M29" s="416"/>
      <c r="N29" s="417"/>
    </row>
    <row r="30" spans="1:16">
      <c r="A30" s="191"/>
      <c r="C30" s="192"/>
      <c r="D30" s="89"/>
      <c r="E30" s="89"/>
      <c r="G30" s="278"/>
      <c r="H30" s="79"/>
      <c r="K30" s="193"/>
      <c r="M30" s="192" t="s">
        <v>189</v>
      </c>
      <c r="N30" s="407">
        <f>ROUND((SUM(N12:N29)),2)</f>
        <v>412109.08</v>
      </c>
      <c r="O30" s="83" t="s">
        <v>322</v>
      </c>
      <c r="P30" s="88" t="e">
        <f>N30/#REF!</f>
        <v>#REF!</v>
      </c>
    </row>
    <row r="31" spans="1:16">
      <c r="A31" s="191"/>
      <c r="C31" s="192"/>
      <c r="D31" s="89"/>
      <c r="E31" s="89"/>
      <c r="G31" s="278"/>
      <c r="H31" s="79"/>
      <c r="K31" s="193"/>
      <c r="M31" s="192" t="s">
        <v>251</v>
      </c>
      <c r="N31" s="90">
        <f>ROUNDDOWN(N30,2)</f>
        <v>412109.08</v>
      </c>
    </row>
    <row r="32" spans="1:16">
      <c r="A32" s="191"/>
      <c r="B32" s="89" t="s">
        <v>27</v>
      </c>
      <c r="C32" s="192"/>
      <c r="D32" s="89"/>
      <c r="E32" s="89"/>
      <c r="H32" s="79"/>
      <c r="J32" s="322">
        <f>SUM(J12:K29)</f>
        <v>302088.47000000009</v>
      </c>
      <c r="K32" s="323"/>
      <c r="L32" s="324"/>
      <c r="M32" s="87"/>
      <c r="N32" s="194"/>
      <c r="P32" s="285">
        <f>J32*J35</f>
        <v>412109.09077400016</v>
      </c>
    </row>
    <row r="33" spans="1:16" ht="24" thickBot="1">
      <c r="A33" s="191"/>
      <c r="B33" s="89" t="s">
        <v>28</v>
      </c>
      <c r="C33" s="192"/>
      <c r="D33" s="89"/>
      <c r="E33" s="89"/>
      <c r="H33" s="79"/>
      <c r="J33" s="322" t="s">
        <v>16</v>
      </c>
      <c r="K33" s="323"/>
      <c r="L33" s="324"/>
      <c r="M33" s="87"/>
      <c r="N33" s="194"/>
      <c r="O33" s="83" t="s">
        <v>320</v>
      </c>
      <c r="P33" s="92">
        <v>493000</v>
      </c>
    </row>
    <row r="34" spans="1:16" ht="24" thickBot="1">
      <c r="A34" s="191"/>
      <c r="B34" s="89"/>
      <c r="C34" s="192"/>
      <c r="D34" s="89"/>
      <c r="E34" s="89"/>
      <c r="H34" s="79"/>
      <c r="J34" s="91"/>
      <c r="K34" s="91"/>
      <c r="L34" s="91"/>
      <c r="M34" s="87"/>
      <c r="N34" s="194"/>
      <c r="O34" s="83" t="s">
        <v>321</v>
      </c>
      <c r="P34" s="88">
        <f>P33-P32</f>
        <v>80890.909225999843</v>
      </c>
    </row>
    <row r="35" spans="1:16" ht="24" thickBot="1">
      <c r="A35" s="191"/>
      <c r="B35" s="89" t="s">
        <v>29</v>
      </c>
      <c r="C35" s="192"/>
      <c r="D35" s="89"/>
      <c r="E35" s="89"/>
      <c r="H35" s="79"/>
      <c r="J35" s="312">
        <v>1.3642000000000001</v>
      </c>
      <c r="K35" s="313"/>
      <c r="L35" s="314"/>
      <c r="M35" s="87"/>
      <c r="N35" s="194"/>
    </row>
    <row r="36" spans="1:16" ht="24" thickBot="1">
      <c r="A36" s="191"/>
      <c r="B36" s="89" t="s">
        <v>30</v>
      </c>
      <c r="C36" s="192"/>
      <c r="D36" s="89"/>
      <c r="E36" s="89"/>
      <c r="H36" s="79"/>
      <c r="J36" s="312" t="s">
        <v>16</v>
      </c>
      <c r="K36" s="313"/>
      <c r="L36" s="314"/>
      <c r="M36" s="87"/>
      <c r="N36" s="194"/>
    </row>
    <row r="37" spans="1:16" ht="22.8" customHeight="1">
      <c r="A37" s="191"/>
      <c r="B37" s="89"/>
      <c r="C37" s="192"/>
      <c r="D37" s="89"/>
      <c r="E37" s="89"/>
      <c r="H37" s="79"/>
      <c r="J37" s="195"/>
      <c r="K37" s="195"/>
      <c r="L37" s="195"/>
      <c r="M37" s="87"/>
      <c r="N37" s="194"/>
    </row>
    <row r="38" spans="1:16">
      <c r="A38" s="191"/>
      <c r="E38" s="80" t="s">
        <v>64</v>
      </c>
      <c r="N38" s="196"/>
    </row>
    <row r="39" spans="1:16">
      <c r="A39" s="191"/>
      <c r="E39" s="311" t="str">
        <f>B76</f>
        <v>( นางเดือนเพ็ญ  นำวงศ์)</v>
      </c>
      <c r="F39" s="311"/>
      <c r="H39" s="94"/>
      <c r="I39" s="94"/>
      <c r="N39" s="196"/>
    </row>
    <row r="40" spans="1:16">
      <c r="A40" s="191"/>
      <c r="E40" s="311" t="str">
        <f>D76</f>
        <v>ผู้อำนวยการกองคลัง</v>
      </c>
      <c r="F40" s="311"/>
      <c r="H40" s="94"/>
      <c r="I40" s="94"/>
      <c r="N40" s="196"/>
    </row>
    <row r="41" spans="1:16" ht="4.2" customHeight="1">
      <c r="A41" s="191"/>
      <c r="N41" s="196"/>
    </row>
    <row r="42" spans="1:16">
      <c r="A42" s="191"/>
      <c r="B42" s="80" t="s">
        <v>330</v>
      </c>
      <c r="G42" s="80" t="s">
        <v>331</v>
      </c>
      <c r="N42" s="196"/>
    </row>
    <row r="43" spans="1:16">
      <c r="A43" s="191"/>
      <c r="B43" s="311" t="str">
        <f>B83</f>
        <v>( นายบุญชัย  อภิวัฒนสกุล )</v>
      </c>
      <c r="C43" s="287"/>
      <c r="D43" s="287"/>
      <c r="G43" s="311" t="str">
        <f>B71</f>
        <v>( นายมนู  แสนคำแพ )</v>
      </c>
      <c r="H43" s="311"/>
      <c r="I43" s="311"/>
      <c r="J43" s="311"/>
      <c r="K43" s="311"/>
      <c r="L43" s="311"/>
      <c r="N43" s="196"/>
    </row>
    <row r="44" spans="1:16">
      <c r="A44" s="191"/>
      <c r="B44" s="311" t="str">
        <f>D83</f>
        <v>นักทรัพยากรบุคคล</v>
      </c>
      <c r="C44" s="287"/>
      <c r="D44" s="287"/>
      <c r="G44" s="311" t="str">
        <f>D71</f>
        <v>นิติกร</v>
      </c>
      <c r="H44" s="311"/>
      <c r="I44" s="311"/>
      <c r="J44" s="311"/>
      <c r="K44" s="311"/>
      <c r="L44" s="311"/>
      <c r="N44" s="196"/>
    </row>
    <row r="45" spans="1:16" ht="13.8" customHeight="1">
      <c r="A45" s="191"/>
      <c r="B45" s="93"/>
      <c r="C45" s="79"/>
      <c r="D45" s="79"/>
      <c r="I45" s="93"/>
      <c r="J45" s="93"/>
      <c r="K45" s="93"/>
      <c r="L45" s="93"/>
      <c r="N45" s="196"/>
    </row>
    <row r="46" spans="1:16">
      <c r="A46" s="191"/>
      <c r="B46" s="80" t="s">
        <v>329</v>
      </c>
      <c r="G46" s="80" t="s">
        <v>331</v>
      </c>
      <c r="N46" s="196"/>
    </row>
    <row r="47" spans="1:16">
      <c r="A47" s="191"/>
      <c r="B47" s="311" t="str">
        <f>B73</f>
        <v>( นายทวีศักดิ์  กิตติยังกุล )</v>
      </c>
      <c r="C47" s="287"/>
      <c r="D47" s="287"/>
      <c r="G47" s="311" t="str">
        <f>B82</f>
        <v>( นายสุรเดช   พรมมีเดช )</v>
      </c>
      <c r="H47" s="311"/>
      <c r="I47" s="311"/>
      <c r="J47" s="311"/>
      <c r="K47" s="311"/>
      <c r="L47" s="311"/>
      <c r="N47" s="196"/>
    </row>
    <row r="48" spans="1:16">
      <c r="A48" s="198"/>
      <c r="B48" s="317" t="str">
        <f>D73</f>
        <v>เจ้าพนักงานป้องกันฯ</v>
      </c>
      <c r="C48" s="318"/>
      <c r="D48" s="318"/>
      <c r="E48" s="199"/>
      <c r="F48" s="199"/>
      <c r="G48" s="317" t="str">
        <f>D82</f>
        <v>นายช่างโยธา</v>
      </c>
      <c r="H48" s="317"/>
      <c r="I48" s="317"/>
      <c r="J48" s="317"/>
      <c r="K48" s="317"/>
      <c r="L48" s="317"/>
      <c r="M48" s="199"/>
      <c r="N48" s="286"/>
    </row>
    <row r="49" spans="1:14" hidden="1">
      <c r="A49" s="191"/>
      <c r="C49" s="311" t="s">
        <v>355</v>
      </c>
      <c r="D49" s="311"/>
      <c r="E49" s="311"/>
      <c r="F49" s="311"/>
      <c r="I49" s="315" t="s">
        <v>348</v>
      </c>
      <c r="J49" s="315"/>
      <c r="K49" s="315"/>
      <c r="L49" s="315"/>
      <c r="M49" s="315"/>
      <c r="N49" s="316"/>
    </row>
    <row r="50" spans="1:14" hidden="1">
      <c r="A50" s="191"/>
      <c r="D50" s="93" t="s">
        <v>345</v>
      </c>
      <c r="E50" s="79"/>
      <c r="F50" s="79"/>
      <c r="J50" s="315" t="s">
        <v>350</v>
      </c>
      <c r="K50" s="315"/>
      <c r="L50" s="315"/>
      <c r="M50" s="315"/>
      <c r="N50" s="197"/>
    </row>
    <row r="51" spans="1:14" hidden="1">
      <c r="A51" s="191"/>
      <c r="D51" s="93" t="s">
        <v>346</v>
      </c>
      <c r="E51" s="79"/>
      <c r="F51" s="79"/>
      <c r="J51" s="315" t="s">
        <v>352</v>
      </c>
      <c r="K51" s="315"/>
      <c r="L51" s="315"/>
      <c r="M51" s="315"/>
      <c r="N51" s="197"/>
    </row>
    <row r="52" spans="1:14" ht="12.6" hidden="1" customHeight="1">
      <c r="A52" s="191"/>
      <c r="D52" s="93"/>
      <c r="E52" s="79"/>
      <c r="F52" s="79"/>
      <c r="K52" s="93"/>
      <c r="L52" s="93"/>
      <c r="M52" s="93"/>
      <c r="N52" s="197"/>
    </row>
    <row r="53" spans="1:14" hidden="1">
      <c r="A53" s="191"/>
      <c r="C53" s="311" t="s">
        <v>347</v>
      </c>
      <c r="D53" s="311"/>
      <c r="E53" s="311"/>
      <c r="F53" s="311"/>
      <c r="J53" s="315" t="s">
        <v>349</v>
      </c>
      <c r="K53" s="315"/>
      <c r="L53" s="315"/>
      <c r="M53" s="315"/>
      <c r="N53" s="316"/>
    </row>
    <row r="54" spans="1:14" hidden="1">
      <c r="A54" s="191"/>
      <c r="D54" s="93" t="s">
        <v>354</v>
      </c>
      <c r="E54" s="79"/>
      <c r="F54" s="79"/>
      <c r="J54" s="315" t="s">
        <v>373</v>
      </c>
      <c r="K54" s="315"/>
      <c r="L54" s="315"/>
      <c r="M54" s="315"/>
      <c r="N54" s="197"/>
    </row>
    <row r="55" spans="1:14" hidden="1">
      <c r="A55" s="198"/>
      <c r="B55" s="199"/>
      <c r="C55" s="199"/>
      <c r="D55" s="200" t="s">
        <v>55</v>
      </c>
      <c r="E55" s="104"/>
      <c r="F55" s="104"/>
      <c r="G55" s="182"/>
      <c r="H55" s="199"/>
      <c r="I55" s="309" t="s">
        <v>371</v>
      </c>
      <c r="J55" s="309"/>
      <c r="K55" s="309"/>
      <c r="L55" s="309"/>
      <c r="M55" s="309"/>
      <c r="N55" s="310"/>
    </row>
    <row r="56" spans="1:14" hidden="1">
      <c r="B56" s="93"/>
      <c r="C56" s="79"/>
      <c r="D56" s="79"/>
      <c r="I56" s="93"/>
      <c r="J56" s="93"/>
      <c r="K56" s="93"/>
      <c r="L56" s="93"/>
    </row>
    <row r="57" spans="1:14">
      <c r="B57" s="93"/>
      <c r="C57" s="79"/>
      <c r="D57" s="79"/>
      <c r="I57" s="93"/>
      <c r="J57" s="93"/>
      <c r="K57" s="93"/>
      <c r="L57" s="93"/>
    </row>
    <row r="58" spans="1:14">
      <c r="B58" s="93"/>
      <c r="C58" s="79"/>
      <c r="D58" s="79"/>
      <c r="I58" s="93"/>
      <c r="J58" s="93"/>
      <c r="K58" s="93"/>
      <c r="L58" s="93"/>
    </row>
    <row r="59" spans="1:14">
      <c r="B59" s="93"/>
      <c r="C59" s="79"/>
      <c r="D59" s="79"/>
      <c r="I59" s="93"/>
      <c r="J59" s="93"/>
      <c r="K59" s="93"/>
      <c r="L59" s="93"/>
    </row>
    <row r="60" spans="1:14">
      <c r="B60" s="93"/>
      <c r="C60" s="79"/>
      <c r="D60" s="79"/>
      <c r="I60" s="93"/>
      <c r="J60" s="93"/>
      <c r="K60" s="93"/>
      <c r="L60" s="93"/>
    </row>
    <row r="61" spans="1:14">
      <c r="B61" s="93"/>
      <c r="C61" s="79"/>
      <c r="D61" s="79"/>
      <c r="I61" s="93"/>
      <c r="J61" s="93"/>
      <c r="K61" s="93"/>
      <c r="L61" s="93"/>
    </row>
    <row r="62" spans="1:14">
      <c r="B62" s="93"/>
      <c r="C62" s="79"/>
      <c r="D62" s="79"/>
      <c r="I62" s="93"/>
      <c r="J62" s="93"/>
      <c r="K62" s="93"/>
      <c r="L62" s="93"/>
    </row>
    <row r="63" spans="1:14">
      <c r="B63" s="93"/>
      <c r="C63" s="79"/>
      <c r="D63" s="79"/>
      <c r="I63" s="93"/>
      <c r="J63" s="93"/>
      <c r="K63" s="93"/>
      <c r="L63" s="93"/>
    </row>
    <row r="64" spans="1:14">
      <c r="B64" s="93"/>
      <c r="C64" s="79"/>
      <c r="D64" s="79"/>
      <c r="I64" s="93"/>
      <c r="J64" s="93"/>
      <c r="K64" s="93"/>
      <c r="L64" s="93"/>
    </row>
    <row r="65" spans="2:4">
      <c r="B65" s="94" t="s">
        <v>32</v>
      </c>
      <c r="D65" s="94" t="s">
        <v>33</v>
      </c>
    </row>
    <row r="66" spans="2:4">
      <c r="B66" s="94" t="s">
        <v>231</v>
      </c>
      <c r="D66" s="94" t="s">
        <v>33</v>
      </c>
    </row>
    <row r="67" spans="2:4">
      <c r="B67" s="94" t="s">
        <v>34</v>
      </c>
      <c r="D67" s="94" t="s">
        <v>35</v>
      </c>
    </row>
    <row r="68" spans="2:4">
      <c r="B68" s="95" t="s">
        <v>333</v>
      </c>
      <c r="D68" s="80" t="s">
        <v>36</v>
      </c>
    </row>
    <row r="69" spans="2:4">
      <c r="B69" s="80" t="s">
        <v>37</v>
      </c>
      <c r="D69" s="80" t="s">
        <v>38</v>
      </c>
    </row>
    <row r="70" spans="2:4">
      <c r="B70" s="80" t="s">
        <v>39</v>
      </c>
      <c r="D70" s="80" t="s">
        <v>40</v>
      </c>
    </row>
    <row r="71" spans="2:4">
      <c r="B71" s="80" t="s">
        <v>41</v>
      </c>
      <c r="D71" s="80" t="s">
        <v>42</v>
      </c>
    </row>
    <row r="72" spans="2:4">
      <c r="B72" s="80" t="s">
        <v>43</v>
      </c>
      <c r="D72" s="80" t="s">
        <v>44</v>
      </c>
    </row>
    <row r="73" spans="2:4">
      <c r="B73" s="80" t="s">
        <v>45</v>
      </c>
      <c r="D73" s="80" t="s">
        <v>46</v>
      </c>
    </row>
    <row r="74" spans="2:4">
      <c r="B74" s="80" t="s">
        <v>47</v>
      </c>
      <c r="D74" s="80" t="s">
        <v>48</v>
      </c>
    </row>
    <row r="75" spans="2:4">
      <c r="B75" s="80" t="s">
        <v>49</v>
      </c>
      <c r="D75" s="80" t="s">
        <v>50</v>
      </c>
    </row>
    <row r="76" spans="2:4">
      <c r="B76" s="80" t="s">
        <v>407</v>
      </c>
      <c r="D76" s="80" t="s">
        <v>51</v>
      </c>
    </row>
    <row r="77" spans="2:4">
      <c r="B77" s="80" t="s">
        <v>52</v>
      </c>
      <c r="D77" s="80" t="s">
        <v>53</v>
      </c>
    </row>
    <row r="78" spans="2:4">
      <c r="B78" s="80" t="s">
        <v>54</v>
      </c>
      <c r="D78" s="80" t="s">
        <v>332</v>
      </c>
    </row>
    <row r="79" spans="2:4">
      <c r="B79" s="80" t="s">
        <v>328</v>
      </c>
      <c r="D79" s="80" t="s">
        <v>55</v>
      </c>
    </row>
    <row r="80" spans="2:4">
      <c r="B80" s="80" t="s">
        <v>56</v>
      </c>
      <c r="D80" s="80" t="s">
        <v>57</v>
      </c>
    </row>
    <row r="81" spans="2:4">
      <c r="B81" s="80" t="s">
        <v>58</v>
      </c>
      <c r="D81" s="80" t="s">
        <v>59</v>
      </c>
    </row>
    <row r="82" spans="2:4">
      <c r="B82" s="80" t="s">
        <v>60</v>
      </c>
      <c r="D82" s="94" t="s">
        <v>61</v>
      </c>
    </row>
    <row r="83" spans="2:4">
      <c r="B83" s="80" t="s">
        <v>408</v>
      </c>
      <c r="D83" s="94" t="s">
        <v>409</v>
      </c>
    </row>
  </sheetData>
  <mergeCells count="69">
    <mergeCell ref="H28:I28"/>
    <mergeCell ref="J28:K28"/>
    <mergeCell ref="G43:L43"/>
    <mergeCell ref="G44:L44"/>
    <mergeCell ref="G47:L47"/>
    <mergeCell ref="J32:L32"/>
    <mergeCell ref="J35:L35"/>
    <mergeCell ref="J33:L33"/>
    <mergeCell ref="H29:I29"/>
    <mergeCell ref="J29:K29"/>
    <mergeCell ref="H22:I22"/>
    <mergeCell ref="J22:K22"/>
    <mergeCell ref="H27:I27"/>
    <mergeCell ref="J27:K27"/>
    <mergeCell ref="H23:I23"/>
    <mergeCell ref="J23:K23"/>
    <mergeCell ref="H24:I24"/>
    <mergeCell ref="J24:K24"/>
    <mergeCell ref="H26:I26"/>
    <mergeCell ref="J26:K26"/>
    <mergeCell ref="H25:I25"/>
    <mergeCell ref="J25:K25"/>
    <mergeCell ref="H19:I19"/>
    <mergeCell ref="J19:K19"/>
    <mergeCell ref="H20:I20"/>
    <mergeCell ref="J20:K20"/>
    <mergeCell ref="H21:I21"/>
    <mergeCell ref="J21:K21"/>
    <mergeCell ref="I55:N55"/>
    <mergeCell ref="C49:F49"/>
    <mergeCell ref="C53:F53"/>
    <mergeCell ref="J36:L36"/>
    <mergeCell ref="J54:M54"/>
    <mergeCell ref="J51:M51"/>
    <mergeCell ref="I49:N49"/>
    <mergeCell ref="J53:N53"/>
    <mergeCell ref="J50:M50"/>
    <mergeCell ref="E40:F40"/>
    <mergeCell ref="B48:D48"/>
    <mergeCell ref="B43:D43"/>
    <mergeCell ref="B44:D44"/>
    <mergeCell ref="B47:D47"/>
    <mergeCell ref="E39:F39"/>
    <mergeCell ref="G48:L48"/>
    <mergeCell ref="A1:N1"/>
    <mergeCell ref="A10:A11"/>
    <mergeCell ref="B10:E11"/>
    <mergeCell ref="F10:F11"/>
    <mergeCell ref="G10:G11"/>
    <mergeCell ref="H10:I10"/>
    <mergeCell ref="J10:K11"/>
    <mergeCell ref="L10:L11"/>
    <mergeCell ref="N10:N11"/>
    <mergeCell ref="H11:I11"/>
    <mergeCell ref="C5:N5"/>
    <mergeCell ref="H12:I12"/>
    <mergeCell ref="H13:I13"/>
    <mergeCell ref="J12:K12"/>
    <mergeCell ref="J13:K13"/>
    <mergeCell ref="H14:I14"/>
    <mergeCell ref="J14:K14"/>
    <mergeCell ref="H16:I16"/>
    <mergeCell ref="J16:K16"/>
    <mergeCell ref="J15:K15"/>
    <mergeCell ref="J17:K17"/>
    <mergeCell ref="J18:K18"/>
    <mergeCell ref="H17:I17"/>
    <mergeCell ref="H18:I18"/>
    <mergeCell ref="H15:I15"/>
  </mergeCells>
  <printOptions horizontalCentered="1"/>
  <pageMargins left="0.19685039370078741" right="0.19685039370078741" top="0.39370078740157483" bottom="0" header="0.31496062992125984" footer="0.31496062992125984"/>
  <pageSetup paperSize="9" scale="77" orientation="portrait" horizontalDpi="4294967294" r:id="rId1"/>
  <rowBreaks count="1" manualBreakCount="1">
    <brk id="26" max="13" man="1"/>
  </rowBreaks>
  <colBreaks count="1" manualBreakCount="1">
    <brk id="14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V102"/>
  <sheetViews>
    <sheetView view="pageBreakPreview" topLeftCell="A5" zoomScaleNormal="100" zoomScaleSheetLayoutView="100" workbookViewId="0">
      <selection activeCell="I10" sqref="I10"/>
    </sheetView>
  </sheetViews>
  <sheetFormatPr defaultColWidth="9" defaultRowHeight="21.6" customHeight="1"/>
  <cols>
    <col min="1" max="1" width="1.33203125" style="80" customWidth="1"/>
    <col min="2" max="2" width="15.33203125" style="80" customWidth="1"/>
    <col min="3" max="3" width="19.21875" style="80" customWidth="1"/>
    <col min="4" max="4" width="3.77734375" style="80" customWidth="1"/>
    <col min="5" max="5" width="9.109375" style="80" customWidth="1"/>
    <col min="6" max="6" width="6.44140625" style="80" customWidth="1"/>
    <col min="7" max="7" width="6.88671875" style="80" customWidth="1"/>
    <col min="8" max="8" width="3" style="80" customWidth="1"/>
    <col min="9" max="9" width="7.88671875" style="80" customWidth="1"/>
    <col min="10" max="10" width="9" style="80"/>
    <col min="11" max="11" width="2.6640625" style="80" customWidth="1"/>
    <col min="12" max="12" width="5.6640625" style="80" customWidth="1"/>
    <col min="13" max="13" width="5.109375" style="80" customWidth="1"/>
    <col min="14" max="14" width="3.88671875" style="80" customWidth="1"/>
    <col min="15" max="15" width="3.77734375" style="80" customWidth="1"/>
    <col min="16" max="16" width="11.77734375" style="92" customWidth="1"/>
    <col min="17" max="17" width="10.21875" style="80" customWidth="1"/>
    <col min="18" max="20" width="9" style="80"/>
    <col min="21" max="21" width="14.6640625" style="80" customWidth="1"/>
    <col min="22" max="16384" width="9" style="80"/>
  </cols>
  <sheetData>
    <row r="1" spans="2:17" ht="21.6" hidden="1" customHeight="1">
      <c r="B1" s="133" t="s">
        <v>254</v>
      </c>
    </row>
    <row r="2" spans="2:17" ht="21.6" hidden="1" customHeight="1">
      <c r="B2" s="80" t="s">
        <v>278</v>
      </c>
      <c r="O2" s="134" t="s">
        <v>75</v>
      </c>
      <c r="P2" s="135">
        <v>0</v>
      </c>
      <c r="Q2" s="134" t="s">
        <v>120</v>
      </c>
    </row>
    <row r="3" spans="2:17" ht="21.6" hidden="1" customHeight="1" thickBot="1">
      <c r="N3" s="83" t="s">
        <v>168</v>
      </c>
      <c r="O3" s="134" t="s">
        <v>75</v>
      </c>
      <c r="P3" s="136">
        <f>ROUNDDOWN(P2,2)</f>
        <v>0</v>
      </c>
      <c r="Q3" s="134" t="s">
        <v>120</v>
      </c>
    </row>
    <row r="4" spans="2:17" ht="21.6" hidden="1" customHeight="1" thickTop="1"/>
    <row r="5" spans="2:17" ht="21.6" customHeight="1">
      <c r="B5" s="137" t="s">
        <v>190</v>
      </c>
      <c r="C5" s="138"/>
      <c r="D5" s="138"/>
      <c r="E5" s="139"/>
    </row>
    <row r="6" spans="2:17" ht="21.6" customHeight="1">
      <c r="B6" s="80" t="s">
        <v>191</v>
      </c>
      <c r="E6" s="83"/>
      <c r="O6" s="139" t="s">
        <v>19</v>
      </c>
      <c r="P6" s="140">
        <f>'1.ค่าวัสดุและดำเนินการ'!K20</f>
        <v>621.47</v>
      </c>
      <c r="Q6" s="141" t="s">
        <v>206</v>
      </c>
    </row>
    <row r="7" spans="2:17" ht="21.6" customHeight="1">
      <c r="B7" s="142" t="s">
        <v>192</v>
      </c>
      <c r="C7" s="138"/>
      <c r="D7" s="336">
        <v>0</v>
      </c>
      <c r="E7" s="336"/>
      <c r="F7" s="138" t="s">
        <v>170</v>
      </c>
      <c r="O7" s="139" t="s">
        <v>19</v>
      </c>
      <c r="P7" s="143">
        <v>0</v>
      </c>
      <c r="Q7" s="141" t="s">
        <v>206</v>
      </c>
    </row>
    <row r="8" spans="2:17" ht="21.6" customHeight="1">
      <c r="B8" s="138" t="s">
        <v>68</v>
      </c>
      <c r="C8" s="138"/>
      <c r="D8" s="138"/>
      <c r="E8" s="139"/>
      <c r="O8" s="139"/>
      <c r="P8" s="144">
        <f>ROUND(SUM(P6:P7),2)</f>
        <v>621.47</v>
      </c>
      <c r="Q8" s="141" t="s">
        <v>206</v>
      </c>
    </row>
    <row r="9" spans="2:17" ht="21.6" customHeight="1">
      <c r="B9" s="138" t="s">
        <v>279</v>
      </c>
      <c r="C9" s="145">
        <v>1.25</v>
      </c>
      <c r="D9" s="146" t="s">
        <v>123</v>
      </c>
      <c r="E9" s="147">
        <f>P6</f>
        <v>621.47</v>
      </c>
      <c r="F9" s="147"/>
      <c r="O9" s="139" t="s">
        <v>19</v>
      </c>
      <c r="P9" s="140">
        <f>ROUND(E9*C9,2)</f>
        <v>776.84</v>
      </c>
      <c r="Q9" s="141" t="s">
        <v>124</v>
      </c>
    </row>
    <row r="10" spans="2:17" ht="21.6" customHeight="1">
      <c r="B10" s="80" t="s">
        <v>227</v>
      </c>
      <c r="E10" s="83"/>
      <c r="O10" s="139" t="s">
        <v>19</v>
      </c>
      <c r="P10" s="143">
        <v>0</v>
      </c>
      <c r="Q10" s="141" t="s">
        <v>124</v>
      </c>
    </row>
    <row r="11" spans="2:17" ht="21.6" customHeight="1">
      <c r="B11" s="148" t="s">
        <v>171</v>
      </c>
      <c r="C11" s="138"/>
      <c r="D11" s="138"/>
      <c r="E11" s="139"/>
      <c r="O11" s="139"/>
      <c r="P11" s="149">
        <f>ROUND(SUM(P9:P10),2)</f>
        <v>776.84</v>
      </c>
      <c r="Q11" s="141" t="s">
        <v>206</v>
      </c>
    </row>
    <row r="12" spans="2:17" ht="21.6" customHeight="1" thickBot="1">
      <c r="N12" s="139" t="s">
        <v>168</v>
      </c>
      <c r="P12" s="136">
        <f>ROUNDDOWN(P11,0)</f>
        <v>776</v>
      </c>
      <c r="Q12" s="141" t="s">
        <v>206</v>
      </c>
    </row>
    <row r="13" spans="2:17" ht="21.6" hidden="1" customHeight="1" thickTop="1">
      <c r="N13" s="139"/>
      <c r="P13" s="150"/>
      <c r="Q13" s="141"/>
    </row>
    <row r="14" spans="2:17" ht="21.6" hidden="1" customHeight="1">
      <c r="B14" s="137" t="s">
        <v>193</v>
      </c>
      <c r="N14" s="139"/>
      <c r="P14" s="150"/>
      <c r="Q14" s="141"/>
    </row>
    <row r="15" spans="2:17" ht="21.6" hidden="1" customHeight="1">
      <c r="B15" s="80" t="s">
        <v>255</v>
      </c>
      <c r="N15" s="83"/>
      <c r="O15" s="139" t="s">
        <v>19</v>
      </c>
      <c r="P15" s="151">
        <v>0</v>
      </c>
      <c r="Q15" s="141" t="s">
        <v>206</v>
      </c>
    </row>
    <row r="16" spans="2:17" ht="21.6" hidden="1" customHeight="1">
      <c r="B16" s="148" t="s">
        <v>169</v>
      </c>
      <c r="E16" s="140">
        <v>0</v>
      </c>
      <c r="F16" s="138" t="s">
        <v>170</v>
      </c>
      <c r="N16" s="139"/>
      <c r="O16" s="139" t="s">
        <v>19</v>
      </c>
      <c r="P16" s="152">
        <v>0</v>
      </c>
      <c r="Q16" s="141" t="s">
        <v>206</v>
      </c>
    </row>
    <row r="17" spans="2:17" ht="21.6" hidden="1" customHeight="1">
      <c r="B17" s="138" t="s">
        <v>12</v>
      </c>
      <c r="N17" s="139"/>
      <c r="O17" s="139"/>
      <c r="P17" s="152">
        <f>SUM(P15:P16)</f>
        <v>0</v>
      </c>
      <c r="Q17" s="141" t="s">
        <v>206</v>
      </c>
    </row>
    <row r="18" spans="2:17" ht="21.6" hidden="1" customHeight="1">
      <c r="B18" s="148" t="s">
        <v>260</v>
      </c>
      <c r="D18" s="146" t="s">
        <v>123</v>
      </c>
      <c r="E18" s="92">
        <v>1.25</v>
      </c>
      <c r="N18" s="139"/>
      <c r="O18" s="139"/>
      <c r="P18" s="153">
        <f>ROUND(P17*E18,2)</f>
        <v>0</v>
      </c>
      <c r="Q18" s="141" t="s">
        <v>206</v>
      </c>
    </row>
    <row r="19" spans="2:17" ht="21.6" hidden="1" customHeight="1">
      <c r="B19" s="80" t="s">
        <v>256</v>
      </c>
      <c r="N19" s="83" t="s">
        <v>67</v>
      </c>
      <c r="O19" s="139" t="s">
        <v>19</v>
      </c>
      <c r="P19" s="154">
        <v>0</v>
      </c>
      <c r="Q19" s="141" t="s">
        <v>206</v>
      </c>
    </row>
    <row r="20" spans="2:17" ht="21.6" hidden="1" customHeight="1">
      <c r="B20" s="148" t="s">
        <v>171</v>
      </c>
      <c r="N20" s="139" t="s">
        <v>67</v>
      </c>
      <c r="O20" s="139"/>
      <c r="P20" s="149">
        <f>ROUND(SUM(P18:P19),2)</f>
        <v>0</v>
      </c>
      <c r="Q20" s="141" t="s">
        <v>206</v>
      </c>
    </row>
    <row r="21" spans="2:17" ht="21.6" hidden="1" customHeight="1" thickBot="1">
      <c r="N21" s="139" t="s">
        <v>168</v>
      </c>
      <c r="P21" s="155">
        <f>ROUNDDOWN(P20,0)</f>
        <v>0</v>
      </c>
      <c r="Q21" s="141" t="s">
        <v>206</v>
      </c>
    </row>
    <row r="22" spans="2:17" ht="21.6" hidden="1" customHeight="1" thickTop="1">
      <c r="N22" s="139"/>
      <c r="P22" s="88"/>
      <c r="Q22" s="141"/>
    </row>
    <row r="23" spans="2:17" ht="21.6" hidden="1" customHeight="1" thickTop="1">
      <c r="B23" s="137" t="s">
        <v>172</v>
      </c>
      <c r="N23" s="139"/>
      <c r="P23" s="88"/>
      <c r="Q23" s="141"/>
    </row>
    <row r="24" spans="2:17" ht="21.6" hidden="1" customHeight="1">
      <c r="B24" s="80" t="s">
        <v>173</v>
      </c>
      <c r="N24" s="83"/>
      <c r="O24" s="139" t="s">
        <v>19</v>
      </c>
      <c r="P24" s="151">
        <v>0</v>
      </c>
      <c r="Q24" s="141" t="s">
        <v>206</v>
      </c>
    </row>
    <row r="25" spans="2:17" ht="21.6" hidden="1" customHeight="1">
      <c r="B25" s="138" t="s">
        <v>257</v>
      </c>
      <c r="N25" s="83"/>
      <c r="O25" s="139"/>
      <c r="P25" s="151">
        <v>0</v>
      </c>
      <c r="Q25" s="141" t="s">
        <v>206</v>
      </c>
    </row>
    <row r="26" spans="2:17" ht="21.6" hidden="1" customHeight="1">
      <c r="B26" s="148" t="s">
        <v>258</v>
      </c>
      <c r="E26" s="140">
        <v>0</v>
      </c>
      <c r="F26" s="138" t="s">
        <v>170</v>
      </c>
      <c r="N26" s="139"/>
      <c r="O26" s="139" t="s">
        <v>19</v>
      </c>
      <c r="P26" s="151">
        <v>0</v>
      </c>
      <c r="Q26" s="141" t="s">
        <v>206</v>
      </c>
    </row>
    <row r="27" spans="2:17" ht="21.6" hidden="1" customHeight="1">
      <c r="B27" s="138" t="s">
        <v>12</v>
      </c>
      <c r="N27" s="139"/>
      <c r="O27" s="139"/>
      <c r="P27" s="156">
        <f>ROUND(SUM(P24:P26),2)</f>
        <v>0</v>
      </c>
      <c r="Q27" s="141" t="s">
        <v>206</v>
      </c>
    </row>
    <row r="28" spans="2:17" ht="21.6" hidden="1" customHeight="1">
      <c r="B28" s="138" t="s">
        <v>261</v>
      </c>
      <c r="D28" s="146" t="s">
        <v>123</v>
      </c>
      <c r="E28" s="92">
        <v>1.6</v>
      </c>
      <c r="N28" s="139"/>
      <c r="O28" s="139"/>
      <c r="P28" s="157">
        <f>ROUND(P27*E28,2)</f>
        <v>0</v>
      </c>
      <c r="Q28" s="141" t="s">
        <v>206</v>
      </c>
    </row>
    <row r="29" spans="2:17" ht="21.6" hidden="1" customHeight="1">
      <c r="B29" s="138" t="s">
        <v>262</v>
      </c>
      <c r="N29" s="139"/>
      <c r="O29" s="139" t="s">
        <v>19</v>
      </c>
      <c r="P29" s="154">
        <v>0</v>
      </c>
      <c r="Q29" s="141" t="s">
        <v>206</v>
      </c>
    </row>
    <row r="30" spans="2:17" ht="21.6" hidden="1" customHeight="1">
      <c r="B30" s="138" t="s">
        <v>259</v>
      </c>
      <c r="N30" s="139"/>
      <c r="O30" s="139" t="s">
        <v>19</v>
      </c>
      <c r="P30" s="154">
        <v>0</v>
      </c>
      <c r="Q30" s="141" t="s">
        <v>206</v>
      </c>
    </row>
    <row r="31" spans="2:17" ht="21.6" hidden="1" customHeight="1">
      <c r="B31" s="148" t="s">
        <v>171</v>
      </c>
      <c r="N31" s="139"/>
      <c r="O31" s="139" t="s">
        <v>19</v>
      </c>
      <c r="P31" s="158">
        <f>ROUND(SUM(P29:P30),2)</f>
        <v>0</v>
      </c>
      <c r="Q31" s="141" t="s">
        <v>206</v>
      </c>
    </row>
    <row r="32" spans="2:17" ht="21.6" hidden="1" customHeight="1" thickBot="1">
      <c r="N32" s="139" t="s">
        <v>168</v>
      </c>
      <c r="O32" s="139" t="s">
        <v>19</v>
      </c>
      <c r="P32" s="159">
        <f>ROUNDDOWN(P31,0)</f>
        <v>0</v>
      </c>
      <c r="Q32" s="141" t="s">
        <v>206</v>
      </c>
    </row>
    <row r="33" spans="2:17" ht="21.6" hidden="1" customHeight="1" thickTop="1">
      <c r="N33" s="139"/>
      <c r="O33" s="139"/>
      <c r="P33" s="160"/>
      <c r="Q33" s="141"/>
    </row>
    <row r="34" spans="2:17" ht="21.6" hidden="1" customHeight="1" thickTop="1">
      <c r="B34" s="137" t="s">
        <v>174</v>
      </c>
      <c r="N34" s="139"/>
      <c r="O34" s="139"/>
      <c r="P34" s="160"/>
      <c r="Q34" s="141"/>
    </row>
    <row r="35" spans="2:17" ht="21.6" hidden="1" customHeight="1">
      <c r="B35" s="138" t="s">
        <v>175</v>
      </c>
      <c r="N35" s="139"/>
      <c r="O35" s="139" t="s">
        <v>19</v>
      </c>
      <c r="P35" s="161">
        <v>0</v>
      </c>
      <c r="Q35" s="141" t="s">
        <v>206</v>
      </c>
    </row>
    <row r="36" spans="2:17" ht="21.6" hidden="1" customHeight="1">
      <c r="B36" s="138" t="s">
        <v>257</v>
      </c>
      <c r="N36" s="139"/>
      <c r="O36" s="139" t="s">
        <v>19</v>
      </c>
      <c r="P36" s="154">
        <v>0</v>
      </c>
      <c r="Q36" s="141" t="s">
        <v>206</v>
      </c>
    </row>
    <row r="37" spans="2:17" ht="21.6" hidden="1" customHeight="1">
      <c r="B37" s="148" t="s">
        <v>258</v>
      </c>
      <c r="E37" s="140">
        <v>0</v>
      </c>
      <c r="F37" s="138" t="s">
        <v>170</v>
      </c>
      <c r="N37" s="139"/>
      <c r="O37" s="139" t="s">
        <v>19</v>
      </c>
      <c r="P37" s="154">
        <v>0</v>
      </c>
      <c r="Q37" s="141" t="s">
        <v>206</v>
      </c>
    </row>
    <row r="38" spans="2:17" ht="21.6" hidden="1" customHeight="1">
      <c r="B38" s="138" t="s">
        <v>68</v>
      </c>
      <c r="N38" s="139"/>
      <c r="O38" s="139"/>
      <c r="P38" s="149">
        <f>ROUND(SUM(P35:P37),2)</f>
        <v>0</v>
      </c>
      <c r="Q38" s="141" t="s">
        <v>206</v>
      </c>
    </row>
    <row r="39" spans="2:17" ht="21.6" hidden="1" customHeight="1">
      <c r="B39" s="138" t="s">
        <v>261</v>
      </c>
      <c r="D39" s="146" t="s">
        <v>123</v>
      </c>
      <c r="E39" s="92">
        <f>G48</f>
        <v>1.6</v>
      </c>
      <c r="N39" s="139"/>
      <c r="O39" s="139" t="s">
        <v>19</v>
      </c>
      <c r="P39" s="154">
        <f>ROUND(P38*E39,2)</f>
        <v>0</v>
      </c>
      <c r="Q39" s="141" t="s">
        <v>206</v>
      </c>
    </row>
    <row r="40" spans="2:17" ht="21.6" hidden="1" customHeight="1">
      <c r="B40" s="138" t="s">
        <v>262</v>
      </c>
      <c r="N40" s="139"/>
      <c r="O40" s="139" t="s">
        <v>19</v>
      </c>
      <c r="P40" s="154">
        <v>0</v>
      </c>
      <c r="Q40" s="141" t="s">
        <v>206</v>
      </c>
    </row>
    <row r="41" spans="2:17" ht="21.6" hidden="1" customHeight="1">
      <c r="B41" s="138" t="s">
        <v>263</v>
      </c>
      <c r="N41" s="139"/>
      <c r="O41" s="139" t="s">
        <v>19</v>
      </c>
      <c r="P41" s="154">
        <v>0</v>
      </c>
      <c r="Q41" s="141" t="s">
        <v>206</v>
      </c>
    </row>
    <row r="42" spans="2:17" ht="21.6" hidden="1" customHeight="1">
      <c r="B42" s="138" t="s">
        <v>69</v>
      </c>
      <c r="N42" s="139"/>
      <c r="O42" s="139" t="s">
        <v>19</v>
      </c>
      <c r="P42" s="162">
        <f>ROUND(SUM(P39:P41),2)</f>
        <v>0</v>
      </c>
      <c r="Q42" s="141" t="s">
        <v>206</v>
      </c>
    </row>
    <row r="43" spans="2:17" ht="21.6" hidden="1" customHeight="1" thickBot="1">
      <c r="N43" s="139" t="s">
        <v>168</v>
      </c>
      <c r="O43" s="139" t="s">
        <v>19</v>
      </c>
      <c r="P43" s="155">
        <f>ROUNDDOWN(P42,0)</f>
        <v>0</v>
      </c>
      <c r="Q43" s="141" t="s">
        <v>206</v>
      </c>
    </row>
    <row r="44" spans="2:17" ht="21.6" hidden="1" customHeight="1" thickTop="1" thickBot="1">
      <c r="N44" s="139"/>
      <c r="O44" s="139"/>
      <c r="P44" s="88"/>
      <c r="Q44" s="141"/>
    </row>
    <row r="45" spans="2:17" ht="21.6" hidden="1" customHeight="1" thickTop="1">
      <c r="C45" s="163" t="s">
        <v>264</v>
      </c>
      <c r="N45" s="139"/>
      <c r="O45" s="139"/>
      <c r="P45" s="164"/>
      <c r="Q45" s="141"/>
    </row>
    <row r="46" spans="2:17" ht="21.6" hidden="1" customHeight="1">
      <c r="G46" s="79" t="s">
        <v>266</v>
      </c>
      <c r="H46" s="79"/>
      <c r="I46" s="79" t="s">
        <v>267</v>
      </c>
      <c r="N46" s="139"/>
      <c r="O46" s="139"/>
      <c r="P46" s="88"/>
      <c r="Q46" s="141"/>
    </row>
    <row r="47" spans="2:17" ht="21.6" hidden="1" customHeight="1">
      <c r="C47" s="80" t="s">
        <v>268</v>
      </c>
      <c r="G47" s="92">
        <v>1.4</v>
      </c>
      <c r="H47" s="92"/>
      <c r="I47" s="92">
        <v>1.45</v>
      </c>
      <c r="N47" s="139"/>
      <c r="O47" s="139"/>
      <c r="P47" s="88"/>
      <c r="Q47" s="141"/>
    </row>
    <row r="48" spans="2:17" ht="21.6" hidden="1" customHeight="1">
      <c r="C48" s="80" t="s">
        <v>269</v>
      </c>
      <c r="G48" s="92">
        <v>1.6</v>
      </c>
      <c r="H48" s="92"/>
      <c r="I48" s="92">
        <v>1.7</v>
      </c>
      <c r="N48" s="139"/>
      <c r="O48" s="139"/>
      <c r="P48" s="88"/>
      <c r="Q48" s="141"/>
    </row>
    <row r="49" spans="1:22" ht="21.6" hidden="1" customHeight="1">
      <c r="C49" s="80" t="s">
        <v>270</v>
      </c>
      <c r="G49" s="92">
        <v>1.85</v>
      </c>
      <c r="H49" s="92"/>
      <c r="I49" s="92">
        <v>1.9</v>
      </c>
      <c r="N49" s="139"/>
      <c r="O49" s="139"/>
      <c r="P49" s="88"/>
      <c r="Q49" s="141"/>
    </row>
    <row r="50" spans="1:22" ht="21.6" hidden="1" customHeight="1">
      <c r="C50" s="80" t="s">
        <v>265</v>
      </c>
      <c r="N50" s="139"/>
      <c r="O50" s="139"/>
      <c r="P50" s="88"/>
      <c r="Q50" s="141"/>
    </row>
    <row r="51" spans="1:22" ht="21.6" customHeight="1" thickTop="1">
      <c r="N51" s="139"/>
      <c r="O51" s="139"/>
      <c r="P51" s="88"/>
      <c r="Q51" s="141"/>
    </row>
    <row r="52" spans="1:22" ht="21.6" customHeight="1">
      <c r="A52" s="165"/>
      <c r="B52" s="133" t="s">
        <v>340</v>
      </c>
      <c r="C52" s="165"/>
      <c r="D52" s="165"/>
      <c r="E52" s="165"/>
      <c r="F52" s="165"/>
      <c r="G52" s="165"/>
      <c r="H52" s="166"/>
      <c r="I52" s="133"/>
      <c r="J52" s="165"/>
      <c r="K52" s="165"/>
      <c r="L52" s="167" t="s">
        <v>121</v>
      </c>
      <c r="M52" s="168">
        <v>15</v>
      </c>
      <c r="N52" s="169" t="s">
        <v>122</v>
      </c>
      <c r="O52" s="165"/>
      <c r="Q52" s="165"/>
    </row>
    <row r="53" spans="1:22" ht="21.6" customHeight="1">
      <c r="A53" s="165"/>
      <c r="B53" s="165" t="s">
        <v>325</v>
      </c>
      <c r="C53" s="165"/>
      <c r="D53" s="134" t="s">
        <v>129</v>
      </c>
      <c r="E53" s="333">
        <v>2</v>
      </c>
      <c r="F53" s="333"/>
      <c r="G53" s="134" t="s">
        <v>123</v>
      </c>
      <c r="H53" s="333">
        <v>10</v>
      </c>
      <c r="I53" s="333"/>
      <c r="J53" s="165"/>
      <c r="K53" s="165"/>
      <c r="L53" s="167"/>
      <c r="M53" s="170"/>
      <c r="N53" s="169"/>
      <c r="O53" s="134" t="s">
        <v>75</v>
      </c>
      <c r="P53" s="171">
        <f>ROUND(E53*H53,2)</f>
        <v>20</v>
      </c>
      <c r="Q53" s="134" t="s">
        <v>20</v>
      </c>
      <c r="R53" s="89"/>
    </row>
    <row r="54" spans="1:22" ht="21.6" customHeight="1">
      <c r="A54" s="165"/>
      <c r="B54" s="165" t="s">
        <v>131</v>
      </c>
      <c r="C54" s="165"/>
      <c r="D54" s="134" t="s">
        <v>129</v>
      </c>
      <c r="E54" s="333">
        <v>4</v>
      </c>
      <c r="F54" s="333"/>
      <c r="G54" s="134" t="s">
        <v>123</v>
      </c>
      <c r="H54" s="333">
        <v>96</v>
      </c>
      <c r="I54" s="333"/>
      <c r="J54" s="134" t="s">
        <v>123</v>
      </c>
      <c r="K54" s="327">
        <f>M52/100</f>
        <v>0.15</v>
      </c>
      <c r="L54" s="327"/>
      <c r="M54" s="165"/>
      <c r="N54" s="165"/>
      <c r="O54" s="134" t="s">
        <v>75</v>
      </c>
      <c r="P54" s="171">
        <f>ROUND(E54*H54*K54,2)</f>
        <v>57.6</v>
      </c>
      <c r="Q54" s="134" t="s">
        <v>18</v>
      </c>
      <c r="R54" s="89"/>
    </row>
    <row r="55" spans="1:22" ht="21.6" customHeight="1">
      <c r="A55" s="165"/>
      <c r="B55" s="165" t="s">
        <v>128</v>
      </c>
      <c r="C55" s="165"/>
      <c r="D55" s="134" t="s">
        <v>129</v>
      </c>
      <c r="E55" s="330">
        <v>150000</v>
      </c>
      <c r="F55" s="330"/>
      <c r="G55" s="134" t="s">
        <v>88</v>
      </c>
      <c r="H55" s="330">
        <v>5000</v>
      </c>
      <c r="I55" s="330"/>
      <c r="J55" s="165" t="s">
        <v>18</v>
      </c>
      <c r="K55" s="165"/>
      <c r="L55" s="165"/>
      <c r="M55" s="165"/>
      <c r="N55" s="165"/>
      <c r="O55" s="134" t="s">
        <v>75</v>
      </c>
      <c r="P55" s="171">
        <f>ROUND(E55/H55,2)</f>
        <v>30</v>
      </c>
      <c r="Q55" s="134" t="s">
        <v>124</v>
      </c>
    </row>
    <row r="56" spans="1:22" ht="21.6" customHeight="1">
      <c r="A56" s="165"/>
      <c r="B56" s="165" t="s">
        <v>281</v>
      </c>
      <c r="C56" s="165"/>
      <c r="D56" s="134" t="s">
        <v>129</v>
      </c>
      <c r="E56" s="328">
        <f>'1.ค่าวัสดุและดำเนินการ'!K12</f>
        <v>2102.8000000000002</v>
      </c>
      <c r="F56" s="328"/>
      <c r="G56" s="134" t="s">
        <v>280</v>
      </c>
      <c r="H56" s="329">
        <v>0</v>
      </c>
      <c r="I56" s="329"/>
      <c r="J56" s="172"/>
      <c r="K56" s="165"/>
      <c r="L56" s="165"/>
      <c r="M56" s="165"/>
      <c r="N56" s="165"/>
      <c r="O56" s="134" t="s">
        <v>75</v>
      </c>
      <c r="P56" s="171">
        <f>ROUND(E56+H56,2)</f>
        <v>2102.8000000000002</v>
      </c>
      <c r="Q56" s="134" t="s">
        <v>124</v>
      </c>
      <c r="T56" s="80" t="s">
        <v>324</v>
      </c>
    </row>
    <row r="57" spans="1:22" ht="21.6" customHeight="1">
      <c r="A57" s="165"/>
      <c r="B57" s="165" t="s">
        <v>125</v>
      </c>
      <c r="C57" s="165"/>
      <c r="D57" s="165"/>
      <c r="E57" s="165"/>
      <c r="F57" s="172"/>
      <c r="G57" s="172"/>
      <c r="H57" s="165"/>
      <c r="I57" s="166"/>
      <c r="J57" s="166"/>
      <c r="K57" s="165"/>
      <c r="L57" s="165"/>
      <c r="M57" s="165"/>
      <c r="N57" s="165"/>
      <c r="O57" s="134" t="s">
        <v>75</v>
      </c>
      <c r="P57" s="173">
        <f>P53</f>
        <v>20</v>
      </c>
      <c r="Q57" s="134" t="s">
        <v>20</v>
      </c>
      <c r="T57" s="174" t="s">
        <v>285</v>
      </c>
      <c r="U57" s="175" t="s">
        <v>286</v>
      </c>
    </row>
    <row r="58" spans="1:22" ht="21.6" customHeight="1">
      <c r="A58" s="165"/>
      <c r="B58" s="165" t="s">
        <v>130</v>
      </c>
      <c r="C58" s="165"/>
      <c r="D58" s="134" t="s">
        <v>129</v>
      </c>
      <c r="E58" s="325">
        <f>P57</f>
        <v>20</v>
      </c>
      <c r="F58" s="325"/>
      <c r="G58" s="134" t="s">
        <v>123</v>
      </c>
      <c r="H58" s="325">
        <f>M52</f>
        <v>15</v>
      </c>
      <c r="I58" s="325"/>
      <c r="J58" s="134" t="s">
        <v>132</v>
      </c>
      <c r="K58" s="165"/>
      <c r="L58" s="165"/>
      <c r="M58" s="165"/>
      <c r="N58" s="165"/>
      <c r="O58" s="134" t="s">
        <v>75</v>
      </c>
      <c r="P58" s="171">
        <f>ROUND(E58*(H58/100),2)</f>
        <v>3</v>
      </c>
      <c r="Q58" s="134" t="s">
        <v>18</v>
      </c>
      <c r="T58" s="80">
        <v>0.3</v>
      </c>
      <c r="U58" s="80">
        <v>0.3</v>
      </c>
    </row>
    <row r="59" spans="1:22" ht="21.6" customHeight="1">
      <c r="A59" s="165"/>
      <c r="B59" s="165" t="s">
        <v>281</v>
      </c>
      <c r="C59" s="165"/>
      <c r="D59" s="134" t="s">
        <v>129</v>
      </c>
      <c r="E59" s="328">
        <f>P58</f>
        <v>3</v>
      </c>
      <c r="F59" s="328"/>
      <c r="G59" s="134" t="s">
        <v>74</v>
      </c>
      <c r="H59" s="328">
        <f>P56</f>
        <v>2102.8000000000002</v>
      </c>
      <c r="I59" s="328"/>
      <c r="J59" s="134" t="s">
        <v>17</v>
      </c>
      <c r="K59" s="165"/>
      <c r="L59" s="165"/>
      <c r="M59" s="165"/>
      <c r="N59" s="165"/>
      <c r="O59" s="134" t="s">
        <v>75</v>
      </c>
      <c r="P59" s="171">
        <f>ROUND(E59*H59,2)</f>
        <v>6308.4</v>
      </c>
      <c r="Q59" s="134" t="s">
        <v>17</v>
      </c>
      <c r="T59" s="176">
        <f>ROUNDDOWN(E53/T58,0)</f>
        <v>6</v>
      </c>
      <c r="U59" s="176">
        <f>ROUNDDOWN(H53/U58,0)</f>
        <v>33</v>
      </c>
      <c r="V59" s="80" t="s">
        <v>161</v>
      </c>
    </row>
    <row r="60" spans="1:22" ht="21.6" customHeight="1">
      <c r="A60" s="165"/>
      <c r="B60" s="165" t="s">
        <v>77</v>
      </c>
      <c r="C60" s="165"/>
      <c r="D60" s="134" t="s">
        <v>129</v>
      </c>
      <c r="E60" s="177">
        <v>0</v>
      </c>
      <c r="F60" s="178" t="s">
        <v>167</v>
      </c>
      <c r="G60" s="332">
        <v>0</v>
      </c>
      <c r="H60" s="332"/>
      <c r="I60" s="134" t="s">
        <v>223</v>
      </c>
      <c r="J60" s="334">
        <f>P58</f>
        <v>3</v>
      </c>
      <c r="K60" s="334"/>
      <c r="L60" s="134" t="s">
        <v>18</v>
      </c>
      <c r="M60" s="179"/>
      <c r="N60" s="179"/>
      <c r="O60" s="134" t="s">
        <v>75</v>
      </c>
      <c r="P60" s="171">
        <f>ROUND(E60*G60*J60,2)</f>
        <v>0</v>
      </c>
      <c r="Q60" s="134" t="s">
        <v>17</v>
      </c>
      <c r="T60" s="176">
        <f>ROUND(((T59+1)*H53*0.499),2)</f>
        <v>34.93</v>
      </c>
      <c r="U60" s="176">
        <f>ROUND(((U59+1)*E53*0.222),2)</f>
        <v>15.1</v>
      </c>
    </row>
    <row r="61" spans="1:22" ht="21.6" customHeight="1">
      <c r="A61" s="165"/>
      <c r="B61" s="165" t="s">
        <v>284</v>
      </c>
      <c r="C61" s="174" t="s">
        <v>286</v>
      </c>
      <c r="D61" s="134" t="s">
        <v>129</v>
      </c>
      <c r="E61" s="328">
        <f>U60</f>
        <v>15.1</v>
      </c>
      <c r="F61" s="325"/>
      <c r="G61" s="180" t="s">
        <v>244</v>
      </c>
      <c r="H61" s="331">
        <f>'1.ค่าวัสดุและดำเนินการ'!K13</f>
        <v>30533.24</v>
      </c>
      <c r="I61" s="331"/>
      <c r="J61" s="134" t="s">
        <v>104</v>
      </c>
      <c r="K61" s="165"/>
      <c r="L61" s="134" t="s">
        <v>245</v>
      </c>
      <c r="M61" s="165"/>
      <c r="N61" s="165"/>
      <c r="O61" s="134" t="s">
        <v>75</v>
      </c>
      <c r="P61" s="171">
        <f>ROUND((H61/1000)*E61,2)</f>
        <v>461.05</v>
      </c>
      <c r="Q61" s="134" t="s">
        <v>17</v>
      </c>
    </row>
    <row r="62" spans="1:22" ht="21.6" customHeight="1">
      <c r="A62" s="165"/>
      <c r="B62" s="165"/>
      <c r="C62" s="174" t="s">
        <v>285</v>
      </c>
      <c r="D62" s="134" t="s">
        <v>129</v>
      </c>
      <c r="E62" s="328">
        <f>T60</f>
        <v>34.93</v>
      </c>
      <c r="F62" s="325"/>
      <c r="G62" s="180" t="s">
        <v>244</v>
      </c>
      <c r="H62" s="331">
        <f>'1.ค่าวัสดุและดำเนินการ'!K14</f>
        <v>29023.59</v>
      </c>
      <c r="I62" s="331"/>
      <c r="J62" s="134" t="s">
        <v>104</v>
      </c>
      <c r="K62" s="165"/>
      <c r="L62" s="134" t="s">
        <v>245</v>
      </c>
      <c r="M62" s="165"/>
      <c r="N62" s="165"/>
      <c r="O62" s="134" t="s">
        <v>75</v>
      </c>
      <c r="P62" s="171">
        <f>ROUND((H62/1000)*E62,2)</f>
        <v>1013.79</v>
      </c>
      <c r="Q62" s="134" t="s">
        <v>17</v>
      </c>
      <c r="T62" s="176"/>
    </row>
    <row r="63" spans="1:22" ht="21.6" customHeight="1">
      <c r="A63" s="165"/>
      <c r="B63" s="165" t="s">
        <v>210</v>
      </c>
      <c r="C63" s="165"/>
      <c r="D63" s="134" t="s">
        <v>129</v>
      </c>
      <c r="E63" s="328">
        <f>ROUND((E61+E62)*(25/1000),2)</f>
        <v>1.25</v>
      </c>
      <c r="F63" s="325"/>
      <c r="G63" s="180" t="s">
        <v>244</v>
      </c>
      <c r="H63" s="326">
        <f>'1.ค่าวัสดุและดำเนินการ'!K18</f>
        <v>46.1</v>
      </c>
      <c r="I63" s="326"/>
      <c r="J63" s="134" t="s">
        <v>247</v>
      </c>
      <c r="K63" s="165"/>
      <c r="L63" s="134"/>
      <c r="M63" s="165"/>
      <c r="N63" s="165"/>
      <c r="O63" s="134" t="s">
        <v>75</v>
      </c>
      <c r="P63" s="171">
        <f>ROUND(H63*E63,2)</f>
        <v>57.63</v>
      </c>
      <c r="Q63" s="134" t="s">
        <v>17</v>
      </c>
    </row>
    <row r="64" spans="1:22" ht="21.6" customHeight="1">
      <c r="A64" s="165"/>
      <c r="B64" s="165" t="s">
        <v>126</v>
      </c>
      <c r="C64" s="165" t="s">
        <v>327</v>
      </c>
      <c r="D64" s="134" t="s">
        <v>129</v>
      </c>
      <c r="E64" s="333">
        <v>20.6</v>
      </c>
      <c r="F64" s="333"/>
      <c r="G64" s="134" t="s">
        <v>133</v>
      </c>
      <c r="H64" s="326">
        <f>H53</f>
        <v>10</v>
      </c>
      <c r="I64" s="326"/>
      <c r="J64" s="134" t="s">
        <v>31</v>
      </c>
      <c r="K64" s="165"/>
      <c r="L64" s="165"/>
      <c r="M64" s="134"/>
      <c r="N64" s="165"/>
      <c r="O64" s="134" t="s">
        <v>75</v>
      </c>
      <c r="P64" s="171">
        <f t="shared" ref="P64:P67" si="0">ROUND(E64*H64,2)</f>
        <v>206</v>
      </c>
      <c r="Q64" s="134" t="s">
        <v>17</v>
      </c>
      <c r="R64" s="89"/>
    </row>
    <row r="65" spans="1:21" ht="21.6" customHeight="1">
      <c r="A65" s="165"/>
      <c r="B65" s="165" t="s">
        <v>246</v>
      </c>
      <c r="C65" s="165"/>
      <c r="D65" s="134" t="s">
        <v>129</v>
      </c>
      <c r="E65" s="333">
        <v>12.36</v>
      </c>
      <c r="F65" s="333"/>
      <c r="G65" s="134" t="s">
        <v>133</v>
      </c>
      <c r="H65" s="326">
        <f>P57</f>
        <v>20</v>
      </c>
      <c r="I65" s="326"/>
      <c r="J65" s="134" t="s">
        <v>20</v>
      </c>
      <c r="K65" s="165"/>
      <c r="L65" s="165"/>
      <c r="M65" s="165"/>
      <c r="N65" s="165"/>
      <c r="O65" s="134" t="s">
        <v>75</v>
      </c>
      <c r="P65" s="171">
        <f t="shared" si="0"/>
        <v>247.2</v>
      </c>
      <c r="Q65" s="134" t="s">
        <v>17</v>
      </c>
      <c r="T65" s="287"/>
      <c r="U65" s="287"/>
    </row>
    <row r="66" spans="1:21" ht="21.6" customHeight="1">
      <c r="A66" s="165"/>
      <c r="B66" s="165" t="s">
        <v>127</v>
      </c>
      <c r="C66" s="165"/>
      <c r="D66" s="134" t="s">
        <v>129</v>
      </c>
      <c r="E66" s="333">
        <v>9.9499999999999993</v>
      </c>
      <c r="F66" s="333"/>
      <c r="G66" s="134" t="s">
        <v>133</v>
      </c>
      <c r="H66" s="326">
        <f>P57</f>
        <v>20</v>
      </c>
      <c r="I66" s="326"/>
      <c r="J66" s="134" t="s">
        <v>20</v>
      </c>
      <c r="K66" s="165"/>
      <c r="L66" s="165"/>
      <c r="M66" s="165"/>
      <c r="N66" s="134"/>
      <c r="O66" s="134" t="s">
        <v>75</v>
      </c>
      <c r="P66" s="171">
        <f t="shared" si="0"/>
        <v>199</v>
      </c>
      <c r="Q66" s="134" t="s">
        <v>17</v>
      </c>
      <c r="T66" s="176"/>
      <c r="U66" s="176"/>
    </row>
    <row r="67" spans="1:21" ht="21.6" customHeight="1">
      <c r="A67" s="165"/>
      <c r="B67" s="165" t="s">
        <v>134</v>
      </c>
      <c r="C67" s="165"/>
      <c r="D67" s="134" t="s">
        <v>129</v>
      </c>
      <c r="E67" s="337">
        <v>0</v>
      </c>
      <c r="F67" s="337"/>
      <c r="G67" s="134" t="s">
        <v>133</v>
      </c>
      <c r="H67" s="326">
        <f>P57</f>
        <v>20</v>
      </c>
      <c r="I67" s="326"/>
      <c r="J67" s="134" t="s">
        <v>20</v>
      </c>
      <c r="K67" s="165"/>
      <c r="L67" s="165"/>
      <c r="M67" s="165"/>
      <c r="N67" s="134"/>
      <c r="O67" s="134" t="s">
        <v>75</v>
      </c>
      <c r="P67" s="171">
        <f t="shared" si="0"/>
        <v>0</v>
      </c>
      <c r="Q67" s="134" t="s">
        <v>17</v>
      </c>
      <c r="T67" s="176"/>
      <c r="U67" s="176"/>
    </row>
    <row r="68" spans="1:21" ht="21.6" customHeight="1">
      <c r="A68" s="165"/>
      <c r="B68" s="165" t="s">
        <v>79</v>
      </c>
      <c r="C68" s="165"/>
      <c r="D68" s="165"/>
      <c r="E68" s="181"/>
      <c r="F68" s="165"/>
      <c r="G68" s="165"/>
      <c r="H68" s="165"/>
      <c r="I68" s="165"/>
      <c r="J68" s="165"/>
      <c r="K68" s="165"/>
      <c r="L68" s="165"/>
      <c r="M68" s="165"/>
      <c r="N68" s="165"/>
      <c r="O68" s="134" t="s">
        <v>75</v>
      </c>
      <c r="P68" s="182">
        <f>ROUND((SUM(P59:P67)),2)</f>
        <v>8493.07</v>
      </c>
      <c r="Q68" s="134" t="s">
        <v>17</v>
      </c>
      <c r="T68" s="176"/>
    </row>
    <row r="69" spans="1:21" ht="21.6" customHeight="1">
      <c r="A69" s="165"/>
      <c r="B69" s="174" t="s">
        <v>80</v>
      </c>
      <c r="C69" s="165"/>
      <c r="D69" s="134" t="s">
        <v>129</v>
      </c>
      <c r="E69" s="325">
        <f>P68</f>
        <v>8493.07</v>
      </c>
      <c r="F69" s="325"/>
      <c r="G69" s="134" t="s">
        <v>88</v>
      </c>
      <c r="H69" s="326">
        <f>P57</f>
        <v>20</v>
      </c>
      <c r="I69" s="326"/>
      <c r="J69" s="172"/>
      <c r="K69" s="165"/>
      <c r="L69" s="165"/>
      <c r="M69" s="165"/>
      <c r="N69" s="165"/>
      <c r="O69" s="134" t="s">
        <v>75</v>
      </c>
      <c r="P69" s="183">
        <f>ROUND(E69/H69,2)</f>
        <v>424.65</v>
      </c>
      <c r="Q69" s="134" t="s">
        <v>120</v>
      </c>
    </row>
    <row r="70" spans="1:21" ht="21.6" customHeight="1" thickBot="1">
      <c r="N70" s="175" t="s">
        <v>168</v>
      </c>
      <c r="O70" s="134" t="s">
        <v>75</v>
      </c>
      <c r="P70" s="184">
        <f>ROUNDDOWN(P69,0)</f>
        <v>424</v>
      </c>
      <c r="Q70" s="134" t="s">
        <v>120</v>
      </c>
    </row>
    <row r="71" spans="1:21" ht="21.6" customHeight="1" thickTop="1">
      <c r="B71" s="163" t="s">
        <v>341</v>
      </c>
      <c r="T71" s="287" t="s">
        <v>272</v>
      </c>
      <c r="U71" s="287"/>
    </row>
    <row r="72" spans="1:21" ht="21.6" customHeight="1">
      <c r="B72" s="80" t="s">
        <v>271</v>
      </c>
      <c r="D72" s="185">
        <v>2</v>
      </c>
      <c r="E72" s="80" t="s">
        <v>31</v>
      </c>
      <c r="I72" s="186"/>
      <c r="J72" s="186"/>
      <c r="T72" s="176">
        <f>ROUNDDOWN(D72/0.3,0)</f>
        <v>6</v>
      </c>
    </row>
    <row r="73" spans="1:21" ht="21.6" customHeight="1">
      <c r="B73" s="80" t="s">
        <v>248</v>
      </c>
      <c r="E73" s="335">
        <f>T73</f>
        <v>7.81</v>
      </c>
      <c r="F73" s="335"/>
      <c r="G73" s="79" t="s">
        <v>106</v>
      </c>
      <c r="H73" s="79" t="s">
        <v>107</v>
      </c>
      <c r="I73" s="335">
        <f>ROUND('1.ค่าวัสดุและดำเนินการ'!K16/1000,2)</f>
        <v>0</v>
      </c>
      <c r="J73" s="335"/>
      <c r="O73" s="79" t="s">
        <v>75</v>
      </c>
      <c r="P73" s="171">
        <f>ROUND(E73*I73,2)</f>
        <v>0</v>
      </c>
      <c r="Q73" s="80" t="s">
        <v>17</v>
      </c>
      <c r="T73" s="176">
        <f>ROUND(((T72+1)*0.5*2.23),2)</f>
        <v>7.81</v>
      </c>
      <c r="U73" s="80" t="s">
        <v>253</v>
      </c>
    </row>
    <row r="74" spans="1:21" ht="21.6" customHeight="1">
      <c r="B74" s="80" t="s">
        <v>108</v>
      </c>
      <c r="E74" s="335">
        <f>T72+1</f>
        <v>7</v>
      </c>
      <c r="F74" s="335"/>
      <c r="G74" s="79" t="s">
        <v>109</v>
      </c>
      <c r="H74" s="79" t="s">
        <v>107</v>
      </c>
      <c r="I74" s="335">
        <f>'1.ค่าวัสดุและดำเนินการ'!K34+'1.ค่าวัสดุและดำเนินการ'!F38</f>
        <v>46.73</v>
      </c>
      <c r="J74" s="335"/>
      <c r="O74" s="79" t="s">
        <v>75</v>
      </c>
      <c r="P74" s="171">
        <f>ROUND(I74*E74,2)</f>
        <v>327.11</v>
      </c>
      <c r="Q74" s="80" t="s">
        <v>17</v>
      </c>
    </row>
    <row r="75" spans="1:21" ht="21.6" customHeight="1">
      <c r="B75" s="80" t="s">
        <v>249</v>
      </c>
      <c r="E75" s="338">
        <f>ROUND(D72*0.15,2)</f>
        <v>0.3</v>
      </c>
      <c r="F75" s="338"/>
      <c r="G75" s="79" t="s">
        <v>20</v>
      </c>
      <c r="H75" s="79" t="s">
        <v>107</v>
      </c>
      <c r="I75" s="335">
        <f>'1.ค่าวัสดุและดำเนินการ'!K35</f>
        <v>0</v>
      </c>
      <c r="J75" s="335"/>
      <c r="O75" s="79" t="s">
        <v>75</v>
      </c>
      <c r="P75" s="171">
        <f t="shared" ref="P75:P77" si="1">ROUND(I75*E75,2)</f>
        <v>0</v>
      </c>
      <c r="Q75" s="80" t="s">
        <v>17</v>
      </c>
    </row>
    <row r="76" spans="1:21" ht="21.6" customHeight="1">
      <c r="B76" s="80" t="s">
        <v>110</v>
      </c>
      <c r="E76" s="335">
        <f>ROUND(0.025*0.025*D72*1000,2)</f>
        <v>1.25</v>
      </c>
      <c r="F76" s="335"/>
      <c r="G76" s="79" t="s">
        <v>111</v>
      </c>
      <c r="H76" s="79" t="s">
        <v>107</v>
      </c>
      <c r="I76" s="335">
        <f>'1.ค่าวัสดุและดำเนินการ'!K36</f>
        <v>0</v>
      </c>
      <c r="J76" s="335"/>
      <c r="O76" s="79" t="s">
        <v>75</v>
      </c>
      <c r="P76" s="171">
        <f t="shared" si="1"/>
        <v>0</v>
      </c>
      <c r="Q76" s="80" t="s">
        <v>17</v>
      </c>
    </row>
    <row r="77" spans="1:21" ht="21.6" customHeight="1">
      <c r="B77" s="80" t="s">
        <v>112</v>
      </c>
      <c r="E77" s="335">
        <f>D72</f>
        <v>2</v>
      </c>
      <c r="F77" s="335"/>
      <c r="G77" s="79" t="s">
        <v>113</v>
      </c>
      <c r="H77" s="79" t="s">
        <v>107</v>
      </c>
      <c r="I77" s="340">
        <v>15.67</v>
      </c>
      <c r="J77" s="340"/>
      <c r="O77" s="79" t="s">
        <v>75</v>
      </c>
      <c r="P77" s="171">
        <f t="shared" si="1"/>
        <v>31.34</v>
      </c>
      <c r="Q77" s="80" t="s">
        <v>17</v>
      </c>
    </row>
    <row r="78" spans="1:21" ht="21.6" customHeight="1">
      <c r="B78" s="80" t="s">
        <v>114</v>
      </c>
      <c r="E78" s="335">
        <f>D72</f>
        <v>2</v>
      </c>
      <c r="F78" s="335"/>
      <c r="G78" s="79" t="s">
        <v>113</v>
      </c>
      <c r="H78" s="79" t="s">
        <v>107</v>
      </c>
      <c r="I78" s="335">
        <f>'1.ค่าวัสดุและดำเนินการ'!K37</f>
        <v>0</v>
      </c>
      <c r="J78" s="335"/>
      <c r="O78" s="79" t="s">
        <v>75</v>
      </c>
      <c r="P78" s="171">
        <f>ROUND(I78*E78,2)</f>
        <v>0</v>
      </c>
      <c r="Q78" s="80" t="s">
        <v>17</v>
      </c>
    </row>
    <row r="79" spans="1:21" ht="21.6" customHeight="1">
      <c r="B79" s="80" t="s">
        <v>115</v>
      </c>
      <c r="E79" s="338">
        <f>ROUND(D72*0.15,2)</f>
        <v>0.3</v>
      </c>
      <c r="F79" s="338"/>
      <c r="G79" s="79" t="s">
        <v>20</v>
      </c>
      <c r="H79" s="79" t="s">
        <v>107</v>
      </c>
      <c r="I79" s="335">
        <f>แบบหล่อคอนกรีต!G24</f>
        <v>416</v>
      </c>
      <c r="J79" s="335"/>
      <c r="O79" s="79" t="s">
        <v>75</v>
      </c>
      <c r="P79" s="171">
        <f>ROUND(I79*E79,2)</f>
        <v>124.8</v>
      </c>
      <c r="Q79" s="80" t="s">
        <v>17</v>
      </c>
    </row>
    <row r="80" spans="1:21" ht="21.6" customHeight="1">
      <c r="B80" s="80" t="s">
        <v>79</v>
      </c>
      <c r="O80" s="79" t="s">
        <v>75</v>
      </c>
      <c r="P80" s="187">
        <f>ROUND(SUM(P73:P79),2)</f>
        <v>483.25</v>
      </c>
      <c r="Q80" s="80" t="s">
        <v>17</v>
      </c>
    </row>
    <row r="81" spans="2:21" ht="21.6" customHeight="1">
      <c r="B81" s="83" t="s">
        <v>80</v>
      </c>
      <c r="E81" s="339">
        <f>P80</f>
        <v>483.25</v>
      </c>
      <c r="F81" s="339"/>
      <c r="G81" s="80" t="s">
        <v>250</v>
      </c>
      <c r="H81" s="287">
        <f>D72</f>
        <v>2</v>
      </c>
      <c r="I81" s="287"/>
      <c r="O81" s="79" t="s">
        <v>75</v>
      </c>
      <c r="P81" s="183">
        <f>ROUND(E81/H81,2)</f>
        <v>241.63</v>
      </c>
      <c r="Q81" s="80" t="s">
        <v>105</v>
      </c>
    </row>
    <row r="82" spans="2:21" ht="21.6" customHeight="1" thickBot="1">
      <c r="B82" s="83"/>
      <c r="E82" s="188"/>
      <c r="F82" s="188"/>
      <c r="H82" s="79"/>
      <c r="I82" s="79"/>
      <c r="N82" s="175" t="s">
        <v>168</v>
      </c>
      <c r="O82" s="134" t="s">
        <v>75</v>
      </c>
      <c r="P82" s="184">
        <f>ROUNDDOWN(E81/H81,0)</f>
        <v>241</v>
      </c>
      <c r="Q82" s="80" t="s">
        <v>105</v>
      </c>
    </row>
    <row r="83" spans="2:21" ht="21.6" customHeight="1" thickTop="1">
      <c r="B83" s="163" t="s">
        <v>342</v>
      </c>
      <c r="P83" s="94"/>
      <c r="T83" s="287" t="s">
        <v>272</v>
      </c>
      <c r="U83" s="287"/>
    </row>
    <row r="84" spans="2:21" ht="21.6" customHeight="1">
      <c r="B84" s="80" t="s">
        <v>273</v>
      </c>
      <c r="D84" s="185">
        <v>2</v>
      </c>
      <c r="E84" s="80" t="s">
        <v>31</v>
      </c>
      <c r="P84" s="94"/>
      <c r="T84" s="176">
        <f>ROUNDDOWN(D84/0.3,0)</f>
        <v>6</v>
      </c>
    </row>
    <row r="85" spans="2:21" ht="21.6" customHeight="1">
      <c r="B85" s="80" t="s">
        <v>248</v>
      </c>
      <c r="E85" s="335">
        <f>T85</f>
        <v>7.81</v>
      </c>
      <c r="F85" s="335"/>
      <c r="G85" s="79" t="s">
        <v>106</v>
      </c>
      <c r="H85" s="79" t="s">
        <v>107</v>
      </c>
      <c r="I85" s="335">
        <f>ROUND('1.ค่าวัสดุและดำเนินการ'!K16/1000,2)</f>
        <v>0</v>
      </c>
      <c r="J85" s="335"/>
      <c r="O85" s="79" t="s">
        <v>75</v>
      </c>
      <c r="P85" s="171">
        <f>ROUND(E85*I85,2)</f>
        <v>0</v>
      </c>
      <c r="Q85" s="80" t="s">
        <v>17</v>
      </c>
      <c r="T85" s="176">
        <f>ROUND(((T84+1)*0.5*2.23),2)</f>
        <v>7.81</v>
      </c>
      <c r="U85" s="80" t="s">
        <v>253</v>
      </c>
    </row>
    <row r="86" spans="2:21" ht="21.6" customHeight="1">
      <c r="B86" s="80" t="s">
        <v>116</v>
      </c>
      <c r="E86" s="335">
        <f>D84</f>
        <v>2</v>
      </c>
      <c r="F86" s="335"/>
      <c r="G86" s="79" t="s">
        <v>31</v>
      </c>
      <c r="H86" s="79" t="s">
        <v>107</v>
      </c>
      <c r="I86" s="340">
        <v>15.67</v>
      </c>
      <c r="J86" s="340"/>
      <c r="O86" s="79" t="s">
        <v>75</v>
      </c>
      <c r="P86" s="171">
        <f t="shared" ref="P86:P88" si="2">ROUND(E86*I86,2)</f>
        <v>31.34</v>
      </c>
      <c r="Q86" s="80" t="s">
        <v>17</v>
      </c>
    </row>
    <row r="87" spans="2:21" ht="21.6" customHeight="1">
      <c r="B87" s="80" t="s">
        <v>117</v>
      </c>
      <c r="D87" s="80" t="s">
        <v>274</v>
      </c>
      <c r="E87" s="335">
        <f>T84+1</f>
        <v>7</v>
      </c>
      <c r="F87" s="335"/>
      <c r="G87" s="79" t="s">
        <v>109</v>
      </c>
      <c r="H87" s="79" t="s">
        <v>107</v>
      </c>
      <c r="I87" s="341">
        <f>'1.ค่าวัสดุและดำเนินการ'!F34</f>
        <v>46.73</v>
      </c>
      <c r="J87" s="341"/>
      <c r="O87" s="79" t="s">
        <v>75</v>
      </c>
      <c r="P87" s="171">
        <f t="shared" si="2"/>
        <v>327.11</v>
      </c>
      <c r="Q87" s="80" t="s">
        <v>17</v>
      </c>
    </row>
    <row r="88" spans="2:21" ht="21.6" customHeight="1">
      <c r="B88" s="80" t="s">
        <v>118</v>
      </c>
      <c r="E88" s="335">
        <v>0.9</v>
      </c>
      <c r="F88" s="335"/>
      <c r="G88" s="79" t="s">
        <v>111</v>
      </c>
      <c r="H88" s="79" t="s">
        <v>107</v>
      </c>
      <c r="I88" s="335">
        <f>'1.ค่าวัสดุและดำเนินการ'!K36</f>
        <v>0</v>
      </c>
      <c r="J88" s="335"/>
      <c r="O88" s="79" t="s">
        <v>75</v>
      </c>
      <c r="P88" s="171">
        <f t="shared" si="2"/>
        <v>0</v>
      </c>
      <c r="Q88" s="80" t="s">
        <v>17</v>
      </c>
    </row>
    <row r="89" spans="2:21" ht="21.6" customHeight="1">
      <c r="B89" s="80" t="s">
        <v>114</v>
      </c>
      <c r="E89" s="335">
        <f>D84</f>
        <v>2</v>
      </c>
      <c r="F89" s="335"/>
      <c r="G89" s="79" t="s">
        <v>113</v>
      </c>
      <c r="H89" s="79" t="s">
        <v>107</v>
      </c>
      <c r="I89" s="335">
        <f>'1.ค่าวัสดุและดำเนินการ'!K37</f>
        <v>0</v>
      </c>
      <c r="J89" s="335"/>
      <c r="O89" s="79" t="s">
        <v>75</v>
      </c>
      <c r="P89" s="171">
        <f>ROUND(I89*E89,2)</f>
        <v>0</v>
      </c>
      <c r="Q89" s="80" t="s">
        <v>17</v>
      </c>
    </row>
    <row r="90" spans="2:21" ht="21.6" customHeight="1">
      <c r="B90" s="80" t="s">
        <v>79</v>
      </c>
      <c r="O90" s="79" t="s">
        <v>75</v>
      </c>
      <c r="P90" s="189">
        <f>ROUND(SUM(P85:P89),2)</f>
        <v>358.45</v>
      </c>
      <c r="Q90" s="80" t="s">
        <v>276</v>
      </c>
    </row>
    <row r="91" spans="2:21" ht="21.6" customHeight="1">
      <c r="B91" s="83" t="s">
        <v>80</v>
      </c>
      <c r="E91" s="339">
        <f>P90</f>
        <v>358.45</v>
      </c>
      <c r="F91" s="339"/>
      <c r="G91" s="80" t="s">
        <v>250</v>
      </c>
      <c r="H91" s="287">
        <f>D84</f>
        <v>2</v>
      </c>
      <c r="I91" s="287"/>
      <c r="O91" s="79" t="s">
        <v>75</v>
      </c>
      <c r="P91" s="183">
        <f>ROUND(E91/H91,2)</f>
        <v>179.23</v>
      </c>
      <c r="Q91" s="80" t="s">
        <v>105</v>
      </c>
    </row>
    <row r="92" spans="2:21" ht="21.6" customHeight="1" thickBot="1">
      <c r="B92" s="83"/>
      <c r="E92" s="188"/>
      <c r="F92" s="188"/>
      <c r="H92" s="79"/>
      <c r="I92" s="79"/>
      <c r="N92" s="175" t="s">
        <v>168</v>
      </c>
      <c r="O92" s="134" t="s">
        <v>75</v>
      </c>
      <c r="P92" s="184">
        <f>ROUNDDOWN(E91/H91,0)</f>
        <v>179</v>
      </c>
      <c r="Q92" s="80" t="s">
        <v>105</v>
      </c>
    </row>
    <row r="93" spans="2:21" ht="21.6" customHeight="1" thickTop="1">
      <c r="B93" s="163" t="s">
        <v>343</v>
      </c>
      <c r="P93" s="94"/>
      <c r="T93" s="287" t="s">
        <v>272</v>
      </c>
      <c r="U93" s="287"/>
    </row>
    <row r="94" spans="2:21" ht="21.6" customHeight="1">
      <c r="B94" s="80" t="s">
        <v>273</v>
      </c>
      <c r="D94" s="190">
        <v>10</v>
      </c>
      <c r="E94" s="80" t="s">
        <v>31</v>
      </c>
      <c r="P94" s="94"/>
      <c r="T94" s="176">
        <f>ROUNDDOWN(D94/0.5,0)</f>
        <v>20</v>
      </c>
    </row>
    <row r="95" spans="2:21" ht="21.6" customHeight="1">
      <c r="B95" s="80" t="s">
        <v>277</v>
      </c>
      <c r="E95" s="335">
        <f>T95</f>
        <v>9.32</v>
      </c>
      <c r="F95" s="335"/>
      <c r="G95" s="79" t="s">
        <v>106</v>
      </c>
      <c r="H95" s="79" t="s">
        <v>107</v>
      </c>
      <c r="I95" s="335">
        <f>ROUND('1.ค่าวัสดุและดำเนินการ'!K17/1000,2)</f>
        <v>26.99</v>
      </c>
      <c r="J95" s="335"/>
      <c r="O95" s="79" t="s">
        <v>75</v>
      </c>
      <c r="P95" s="171">
        <f>ROUND(E95*I95,2)</f>
        <v>251.55</v>
      </c>
      <c r="Q95" s="80" t="s">
        <v>17</v>
      </c>
      <c r="T95" s="176">
        <f>ROUND(((T94+1)*0.5*0.888),2)</f>
        <v>9.32</v>
      </c>
      <c r="U95" s="80" t="s">
        <v>253</v>
      </c>
    </row>
    <row r="96" spans="2:21" ht="21.6" customHeight="1">
      <c r="B96" s="80" t="s">
        <v>116</v>
      </c>
      <c r="E96" s="335">
        <f>D94</f>
        <v>10</v>
      </c>
      <c r="F96" s="335"/>
      <c r="G96" s="79" t="s">
        <v>31</v>
      </c>
      <c r="H96" s="79" t="s">
        <v>107</v>
      </c>
      <c r="I96" s="340">
        <v>15.67</v>
      </c>
      <c r="J96" s="340"/>
      <c r="O96" s="79" t="s">
        <v>75</v>
      </c>
      <c r="P96" s="171">
        <f>ROUND(E96*I96,2)</f>
        <v>156.69999999999999</v>
      </c>
      <c r="Q96" s="80" t="s">
        <v>17</v>
      </c>
    </row>
    <row r="97" spans="2:17" ht="21.6" customHeight="1">
      <c r="B97" s="80" t="s">
        <v>118</v>
      </c>
      <c r="D97" s="80" t="s">
        <v>274</v>
      </c>
      <c r="E97" s="335">
        <v>3.8</v>
      </c>
      <c r="F97" s="335"/>
      <c r="G97" s="79" t="s">
        <v>111</v>
      </c>
      <c r="H97" s="79" t="s">
        <v>107</v>
      </c>
      <c r="I97" s="335">
        <f>'1.ค่าวัสดุและดำเนินการ'!K36</f>
        <v>0</v>
      </c>
      <c r="J97" s="335"/>
      <c r="O97" s="79" t="s">
        <v>75</v>
      </c>
      <c r="P97" s="171">
        <f>ROUND(E97*I97,2)</f>
        <v>0</v>
      </c>
      <c r="Q97" s="80" t="s">
        <v>17</v>
      </c>
    </row>
    <row r="98" spans="2:17" ht="21.6" customHeight="1">
      <c r="B98" s="80" t="s">
        <v>114</v>
      </c>
      <c r="E98" s="335">
        <f>D94</f>
        <v>10</v>
      </c>
      <c r="F98" s="335"/>
      <c r="G98" s="79" t="s">
        <v>20</v>
      </c>
      <c r="H98" s="79" t="s">
        <v>107</v>
      </c>
      <c r="I98" s="335">
        <f>'1.ค่าวัสดุและดำเนินการ'!K37</f>
        <v>0</v>
      </c>
      <c r="J98" s="335"/>
      <c r="O98" s="79" t="s">
        <v>75</v>
      </c>
      <c r="P98" s="171">
        <f t="shared" ref="P98" si="3">ROUND(E98*I98,2)</f>
        <v>0</v>
      </c>
      <c r="Q98" s="80" t="s">
        <v>17</v>
      </c>
    </row>
    <row r="99" spans="2:17" ht="21.6" customHeight="1">
      <c r="B99" s="80" t="s">
        <v>79</v>
      </c>
      <c r="O99" s="79" t="s">
        <v>75</v>
      </c>
      <c r="P99" s="189">
        <f>ROUND(SUM(P95:P98),2)</f>
        <v>408.25</v>
      </c>
      <c r="Q99" s="80" t="s">
        <v>17</v>
      </c>
    </row>
    <row r="100" spans="2:17" ht="21.6" customHeight="1">
      <c r="B100" s="83" t="s">
        <v>80</v>
      </c>
      <c r="E100" s="339">
        <f>P99</f>
        <v>408.25</v>
      </c>
      <c r="F100" s="339"/>
      <c r="G100" s="80" t="s">
        <v>250</v>
      </c>
      <c r="H100" s="287">
        <f>D94</f>
        <v>10</v>
      </c>
      <c r="I100" s="287"/>
      <c r="O100" s="79" t="s">
        <v>75</v>
      </c>
      <c r="P100" s="183">
        <f>ROUND(E100/H100,2)</f>
        <v>40.83</v>
      </c>
      <c r="Q100" s="80" t="s">
        <v>105</v>
      </c>
    </row>
    <row r="101" spans="2:17" ht="21.6" customHeight="1" thickBot="1">
      <c r="E101" s="188"/>
      <c r="F101" s="188"/>
      <c r="H101" s="79"/>
      <c r="I101" s="79"/>
      <c r="N101" s="175" t="s">
        <v>168</v>
      </c>
      <c r="O101" s="134" t="s">
        <v>75</v>
      </c>
      <c r="P101" s="184">
        <f>ROUNDDOWN(E100/H100,0)</f>
        <v>40</v>
      </c>
      <c r="Q101" s="80" t="s">
        <v>105</v>
      </c>
    </row>
    <row r="102" spans="2:17" ht="21.6" customHeight="1" thickTop="1"/>
  </sheetData>
  <mergeCells count="74">
    <mergeCell ref="T93:U93"/>
    <mergeCell ref="E100:F100"/>
    <mergeCell ref="H100:I100"/>
    <mergeCell ref="E97:F97"/>
    <mergeCell ref="I97:J97"/>
    <mergeCell ref="E98:F98"/>
    <mergeCell ref="I98:J98"/>
    <mergeCell ref="E91:F91"/>
    <mergeCell ref="H91:I91"/>
    <mergeCell ref="E95:F95"/>
    <mergeCell ref="I95:J95"/>
    <mergeCell ref="E96:F96"/>
    <mergeCell ref="I96:J96"/>
    <mergeCell ref="E88:F88"/>
    <mergeCell ref="I88:J88"/>
    <mergeCell ref="E86:F86"/>
    <mergeCell ref="I86:J86"/>
    <mergeCell ref="E89:F89"/>
    <mergeCell ref="I89:J89"/>
    <mergeCell ref="E85:F85"/>
    <mergeCell ref="I85:J85"/>
    <mergeCell ref="T83:U83"/>
    <mergeCell ref="E87:F87"/>
    <mergeCell ref="I87:J87"/>
    <mergeCell ref="E79:F79"/>
    <mergeCell ref="I79:J79"/>
    <mergeCell ref="E81:F81"/>
    <mergeCell ref="H81:I81"/>
    <mergeCell ref="T71:U71"/>
    <mergeCell ref="I77:J77"/>
    <mergeCell ref="I78:J78"/>
    <mergeCell ref="E73:F73"/>
    <mergeCell ref="E74:F74"/>
    <mergeCell ref="E75:F75"/>
    <mergeCell ref="E76:F76"/>
    <mergeCell ref="E77:F77"/>
    <mergeCell ref="E78:F78"/>
    <mergeCell ref="I73:J73"/>
    <mergeCell ref="I74:J74"/>
    <mergeCell ref="I75:J75"/>
    <mergeCell ref="D7:E7"/>
    <mergeCell ref="E63:F63"/>
    <mergeCell ref="H63:I63"/>
    <mergeCell ref="E67:F67"/>
    <mergeCell ref="H67:I67"/>
    <mergeCell ref="E64:F64"/>
    <mergeCell ref="H64:I64"/>
    <mergeCell ref="E65:F65"/>
    <mergeCell ref="H65:I65"/>
    <mergeCell ref="E66:F66"/>
    <mergeCell ref="H66:I66"/>
    <mergeCell ref="J60:K60"/>
    <mergeCell ref="E61:F61"/>
    <mergeCell ref="H61:I61"/>
    <mergeCell ref="E53:F53"/>
    <mergeCell ref="I76:J76"/>
    <mergeCell ref="H53:I53"/>
    <mergeCell ref="H59:I59"/>
    <mergeCell ref="T65:U65"/>
    <mergeCell ref="E69:F69"/>
    <mergeCell ref="H69:I69"/>
    <mergeCell ref="K54:L54"/>
    <mergeCell ref="E56:F56"/>
    <mergeCell ref="H56:I56"/>
    <mergeCell ref="E58:F58"/>
    <mergeCell ref="H58:I58"/>
    <mergeCell ref="E55:F55"/>
    <mergeCell ref="H55:I55"/>
    <mergeCell ref="E62:F62"/>
    <mergeCell ref="H62:I62"/>
    <mergeCell ref="G60:H60"/>
    <mergeCell ref="E54:F54"/>
    <mergeCell ref="H54:I54"/>
    <mergeCell ref="E59:F59"/>
  </mergeCells>
  <printOptions horizontalCentered="1"/>
  <pageMargins left="0.59055118110236227" right="0" top="0.59055118110236227" bottom="0" header="0.31496062992125984" footer="0.31496062992125984"/>
  <pageSetup paperSize="9" scale="71" orientation="portrait" r:id="rId1"/>
  <rowBreaks count="2" manualBreakCount="2">
    <brk id="70" max="16383" man="1"/>
    <brk id="101" max="16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89261-3D31-4F4A-AAB8-3A0DA1575596}">
  <dimension ref="B4:D9"/>
  <sheetViews>
    <sheetView workbookViewId="0">
      <selection activeCell="G11" sqref="G11"/>
    </sheetView>
  </sheetViews>
  <sheetFormatPr defaultRowHeight="14.4"/>
  <cols>
    <col min="4" max="4" width="15" customWidth="1"/>
  </cols>
  <sheetData>
    <row r="4" spans="2:4" ht="24">
      <c r="B4" s="4"/>
      <c r="C4" s="3" t="s">
        <v>334</v>
      </c>
      <c r="D4" s="24">
        <v>1.3592</v>
      </c>
    </row>
    <row r="5" spans="2:4" ht="24">
      <c r="B5" s="1"/>
      <c r="C5" s="3" t="s">
        <v>335</v>
      </c>
      <c r="D5" s="24">
        <v>1.3076000000000001</v>
      </c>
    </row>
    <row r="6" spans="2:4" ht="24">
      <c r="B6" s="5"/>
      <c r="C6" s="3" t="s">
        <v>336</v>
      </c>
      <c r="D6" s="24">
        <v>10000000</v>
      </c>
    </row>
    <row r="7" spans="2:4" ht="24">
      <c r="B7" s="1"/>
      <c r="C7" s="3" t="s">
        <v>337</v>
      </c>
      <c r="D7" s="24">
        <v>5000000</v>
      </c>
    </row>
    <row r="8" spans="2:4" ht="24">
      <c r="B8" s="1"/>
      <c r="C8" s="3" t="s">
        <v>338</v>
      </c>
      <c r="D8" s="24">
        <v>0</v>
      </c>
    </row>
    <row r="9" spans="2:4" ht="24">
      <c r="B9" s="1"/>
      <c r="C9" s="3"/>
      <c r="D9" s="25">
        <f>D4-(((D4-D5)*(D8-D7))/(D6-D7))</f>
        <v>1.4107999999999998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55"/>
  <sheetViews>
    <sheetView view="pageBreakPreview" topLeftCell="A47" zoomScaleSheetLayoutView="100" workbookViewId="0">
      <selection activeCell="T48" sqref="T48"/>
    </sheetView>
  </sheetViews>
  <sheetFormatPr defaultColWidth="9" defaultRowHeight="23.4"/>
  <cols>
    <col min="1" max="1" width="6.33203125" style="27" customWidth="1"/>
    <col min="2" max="12" width="9" style="27"/>
    <col min="13" max="13" width="7.109375" style="27" customWidth="1"/>
    <col min="14" max="14" width="10.33203125" style="27" customWidth="1"/>
    <col min="15" max="16384" width="9" style="27"/>
  </cols>
  <sheetData>
    <row r="1" spans="1:17">
      <c r="A1" s="218">
        <v>1</v>
      </c>
      <c r="B1" s="219" t="s">
        <v>72</v>
      </c>
      <c r="C1" s="220"/>
      <c r="D1" s="220"/>
      <c r="E1" s="220"/>
      <c r="F1" s="358">
        <v>0.6</v>
      </c>
      <c r="G1" s="358"/>
      <c r="H1" s="219" t="s">
        <v>252</v>
      </c>
      <c r="I1" s="220"/>
      <c r="J1" s="65"/>
      <c r="K1" s="68"/>
      <c r="L1" s="65"/>
      <c r="M1" s="65"/>
      <c r="N1" s="221"/>
      <c r="O1" s="65"/>
    </row>
    <row r="2" spans="1:17">
      <c r="A2" s="65"/>
      <c r="B2" s="65" t="s">
        <v>73</v>
      </c>
      <c r="C2" s="357">
        <v>0.5</v>
      </c>
      <c r="D2" s="357"/>
      <c r="E2" s="65" t="s">
        <v>74</v>
      </c>
      <c r="F2" s="65"/>
      <c r="G2" s="359">
        <v>21.84</v>
      </c>
      <c r="H2" s="360"/>
      <c r="I2" s="65"/>
      <c r="J2" s="65"/>
      <c r="K2" s="65"/>
      <c r="L2" s="65"/>
      <c r="M2" s="68" t="s">
        <v>75</v>
      </c>
      <c r="N2" s="222">
        <f>ROUND(G2*C2,2)</f>
        <v>10.92</v>
      </c>
      <c r="O2" s="65" t="s">
        <v>76</v>
      </c>
      <c r="Q2" s="223"/>
    </row>
    <row r="3" spans="1:17" ht="24">
      <c r="A3" s="65"/>
      <c r="B3" s="65" t="s">
        <v>304</v>
      </c>
      <c r="C3" s="352">
        <f>'1.ค่าวัสดุและดำเนินการ'!K24</f>
        <v>0</v>
      </c>
      <c r="D3" s="352"/>
      <c r="E3" s="65" t="s">
        <v>222</v>
      </c>
      <c r="F3" s="65"/>
      <c r="G3" s="65"/>
      <c r="H3" s="65"/>
      <c r="I3" s="65"/>
      <c r="J3" s="65"/>
      <c r="K3" s="65"/>
      <c r="L3" s="65"/>
      <c r="M3" s="68" t="s">
        <v>75</v>
      </c>
      <c r="N3" s="221">
        <f>'1.ค่าวัสดุและดำเนินการ'!K24</f>
        <v>0</v>
      </c>
      <c r="O3" s="65" t="s">
        <v>76</v>
      </c>
    </row>
    <row r="4" spans="1:17">
      <c r="A4" s="65"/>
      <c r="B4" s="65" t="s">
        <v>77</v>
      </c>
      <c r="C4" s="65"/>
      <c r="D4" s="65"/>
      <c r="E4" s="65"/>
      <c r="F4" s="65"/>
      <c r="G4" s="65"/>
      <c r="H4" s="65"/>
      <c r="I4" s="65"/>
      <c r="J4" s="65"/>
      <c r="K4" s="65"/>
      <c r="L4" s="65"/>
      <c r="M4" s="68" t="s">
        <v>75</v>
      </c>
      <c r="N4" s="221">
        <f>L15</f>
        <v>93.83</v>
      </c>
      <c r="O4" s="65" t="s">
        <v>76</v>
      </c>
    </row>
    <row r="5" spans="1:17">
      <c r="A5" s="65"/>
      <c r="B5" s="65" t="s">
        <v>215</v>
      </c>
      <c r="C5" s="65"/>
      <c r="D5" s="353">
        <v>0.03</v>
      </c>
      <c r="E5" s="353"/>
      <c r="F5" s="65" t="s">
        <v>74</v>
      </c>
      <c r="G5" s="354">
        <f>'1.ค่าวัสดุและดำเนินการ'!K20</f>
        <v>621.47</v>
      </c>
      <c r="H5" s="351"/>
      <c r="I5" s="65"/>
      <c r="J5" s="65"/>
      <c r="K5" s="65"/>
      <c r="L5" s="65"/>
      <c r="M5" s="68" t="s">
        <v>75</v>
      </c>
      <c r="N5" s="222">
        <f>ROUND(D5*G5,2)</f>
        <v>18.64</v>
      </c>
      <c r="O5" s="65" t="s">
        <v>76</v>
      </c>
    </row>
    <row r="6" spans="1:17">
      <c r="A6" s="65"/>
      <c r="B6" s="65" t="s">
        <v>92</v>
      </c>
      <c r="C6" s="65"/>
      <c r="D6" s="355">
        <v>0</v>
      </c>
      <c r="E6" s="355"/>
      <c r="F6" s="65" t="s">
        <v>74</v>
      </c>
      <c r="G6" s="354">
        <f>คอนกรีต!J10</f>
        <v>2261.04</v>
      </c>
      <c r="H6" s="351"/>
      <c r="I6" s="65"/>
      <c r="J6" s="65"/>
      <c r="K6" s="65"/>
      <c r="L6" s="65"/>
      <c r="M6" s="68" t="s">
        <v>75</v>
      </c>
      <c r="N6" s="222">
        <f>ROUND(D6*G6,2)</f>
        <v>0</v>
      </c>
      <c r="O6" s="65" t="s">
        <v>76</v>
      </c>
    </row>
    <row r="7" spans="1:17">
      <c r="A7" s="65"/>
      <c r="B7" s="65" t="s">
        <v>78</v>
      </c>
      <c r="C7" s="65"/>
      <c r="D7" s="65"/>
      <c r="E7" s="65"/>
      <c r="F7" s="65"/>
      <c r="G7" s="65"/>
      <c r="H7" s="65"/>
      <c r="I7" s="65"/>
      <c r="J7" s="65"/>
      <c r="K7" s="65"/>
      <c r="L7" s="65"/>
      <c r="M7" s="68" t="s">
        <v>75</v>
      </c>
      <c r="N7" s="224">
        <f>G23</f>
        <v>345</v>
      </c>
      <c r="O7" s="65" t="s">
        <v>76</v>
      </c>
    </row>
    <row r="8" spans="1:17">
      <c r="A8" s="65"/>
      <c r="B8" s="65" t="s">
        <v>79</v>
      </c>
      <c r="C8" s="65"/>
      <c r="D8" s="65"/>
      <c r="E8" s="65"/>
      <c r="F8" s="65"/>
      <c r="G8" s="65"/>
      <c r="H8" s="65"/>
      <c r="I8" s="65"/>
      <c r="J8" s="65"/>
      <c r="K8" s="65"/>
      <c r="L8" s="65"/>
      <c r="M8" s="68" t="s">
        <v>75</v>
      </c>
      <c r="N8" s="225">
        <f>ROUND(SUM(N2:N7),2)</f>
        <v>468.39</v>
      </c>
      <c r="O8" s="65" t="s">
        <v>76</v>
      </c>
    </row>
    <row r="9" spans="1:17" ht="24" thickBot="1">
      <c r="A9" s="65"/>
      <c r="B9" s="65"/>
      <c r="C9" s="65"/>
      <c r="D9" s="65"/>
      <c r="E9" s="65"/>
      <c r="F9" s="65"/>
      <c r="G9" s="65"/>
      <c r="H9" s="65"/>
      <c r="I9" s="65"/>
      <c r="J9" s="65"/>
      <c r="K9" s="65"/>
      <c r="L9" s="226" t="s">
        <v>80</v>
      </c>
      <c r="M9" s="68" t="s">
        <v>75</v>
      </c>
      <c r="N9" s="227">
        <f>ROUNDDOWN(N8,0)</f>
        <v>468</v>
      </c>
      <c r="O9" s="65" t="s">
        <v>76</v>
      </c>
    </row>
    <row r="10" spans="1:17" ht="24" thickTop="1">
      <c r="A10" s="65"/>
      <c r="B10" s="228" t="s">
        <v>13</v>
      </c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221"/>
      <c r="O10" s="65"/>
    </row>
    <row r="11" spans="1:17">
      <c r="A11" s="65"/>
      <c r="B11" s="65" t="s">
        <v>81</v>
      </c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221"/>
      <c r="O11" s="65"/>
    </row>
    <row r="12" spans="1:17">
      <c r="A12" s="65"/>
      <c r="B12" s="65" t="s">
        <v>82</v>
      </c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221"/>
      <c r="O12" s="65"/>
    </row>
    <row r="13" spans="1:17">
      <c r="A13" s="65"/>
      <c r="B13" s="65" t="s">
        <v>83</v>
      </c>
      <c r="C13" s="65"/>
      <c r="D13" s="356">
        <v>58</v>
      </c>
      <c r="E13" s="356"/>
      <c r="F13" s="68" t="s">
        <v>84</v>
      </c>
      <c r="G13" s="356">
        <v>150.15</v>
      </c>
      <c r="H13" s="356"/>
      <c r="I13" s="229" t="s">
        <v>85</v>
      </c>
      <c r="J13" s="65"/>
      <c r="K13" s="68" t="s">
        <v>75</v>
      </c>
      <c r="L13" s="230">
        <f>(G13*13)+300</f>
        <v>2251.9499999999998</v>
      </c>
      <c r="M13" s="65" t="s">
        <v>86</v>
      </c>
      <c r="N13" s="221"/>
      <c r="O13" s="65"/>
    </row>
    <row r="14" spans="1:17">
      <c r="A14" s="65"/>
      <c r="B14" s="65"/>
      <c r="C14" s="65"/>
      <c r="D14" s="68"/>
      <c r="E14" s="68"/>
      <c r="F14" s="68"/>
      <c r="G14" s="68"/>
      <c r="H14" s="68"/>
      <c r="I14" s="229"/>
      <c r="J14" s="65"/>
      <c r="K14" s="68"/>
      <c r="L14" s="65"/>
      <c r="M14" s="65"/>
      <c r="N14" s="221"/>
      <c r="O14" s="65"/>
    </row>
    <row r="15" spans="1:17">
      <c r="A15" s="65"/>
      <c r="B15" s="65" t="s">
        <v>87</v>
      </c>
      <c r="C15" s="65"/>
      <c r="D15" s="65"/>
      <c r="E15" s="65"/>
      <c r="F15" s="351">
        <f>+L13</f>
        <v>2251.9499999999998</v>
      </c>
      <c r="G15" s="351"/>
      <c r="H15" s="231" t="s">
        <v>88</v>
      </c>
      <c r="I15" s="352">
        <f>D23</f>
        <v>24</v>
      </c>
      <c r="J15" s="351"/>
      <c r="K15" s="68" t="s">
        <v>75</v>
      </c>
      <c r="L15" s="222">
        <f>ROUND(F15/I15,2)</f>
        <v>93.83</v>
      </c>
      <c r="M15" s="65" t="s">
        <v>76</v>
      </c>
      <c r="N15" s="221"/>
      <c r="O15" s="65"/>
    </row>
    <row r="16" spans="1:17">
      <c r="A16" s="65"/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221"/>
      <c r="O16" s="65"/>
    </row>
    <row r="18" spans="1:15">
      <c r="B18" s="350" t="s">
        <v>89</v>
      </c>
      <c r="C18" s="350"/>
      <c r="D18" s="350" t="s">
        <v>90</v>
      </c>
      <c r="E18" s="350"/>
      <c r="F18" s="350"/>
      <c r="G18" s="350" t="s">
        <v>78</v>
      </c>
      <c r="H18" s="350"/>
      <c r="I18" s="350"/>
      <c r="J18" s="350" t="s">
        <v>91</v>
      </c>
      <c r="K18" s="350"/>
      <c r="L18" s="350"/>
      <c r="M18" s="350"/>
      <c r="N18" s="350" t="s">
        <v>92</v>
      </c>
      <c r="O18" s="350"/>
    </row>
    <row r="19" spans="1:15">
      <c r="B19" s="346" t="s">
        <v>93</v>
      </c>
      <c r="C19" s="346"/>
      <c r="D19" s="346" t="s">
        <v>93</v>
      </c>
      <c r="E19" s="346"/>
      <c r="F19" s="346"/>
      <c r="G19" s="346" t="s">
        <v>94</v>
      </c>
      <c r="H19" s="346"/>
      <c r="I19" s="346"/>
      <c r="J19" s="346" t="s">
        <v>95</v>
      </c>
      <c r="K19" s="346"/>
      <c r="L19" s="346"/>
      <c r="M19" s="346"/>
      <c r="N19" s="346" t="s">
        <v>95</v>
      </c>
      <c r="O19" s="346"/>
    </row>
    <row r="20" spans="1:15">
      <c r="B20" s="346" t="s">
        <v>96</v>
      </c>
      <c r="C20" s="346"/>
      <c r="D20" s="346">
        <v>48</v>
      </c>
      <c r="E20" s="346"/>
      <c r="F20" s="346"/>
      <c r="G20" s="347">
        <v>140</v>
      </c>
      <c r="H20" s="347"/>
      <c r="I20" s="347"/>
      <c r="J20" s="348">
        <v>0.126</v>
      </c>
      <c r="K20" s="348"/>
      <c r="L20" s="348"/>
      <c r="M20" s="348"/>
      <c r="N20" s="349">
        <v>0.12</v>
      </c>
      <c r="O20" s="349"/>
    </row>
    <row r="21" spans="1:15">
      <c r="B21" s="346" t="s">
        <v>97</v>
      </c>
      <c r="C21" s="346"/>
      <c r="D21" s="346">
        <v>32</v>
      </c>
      <c r="E21" s="346"/>
      <c r="F21" s="346"/>
      <c r="G21" s="347">
        <v>140</v>
      </c>
      <c r="H21" s="347"/>
      <c r="I21" s="347"/>
      <c r="J21" s="348">
        <v>0.21199999999999999</v>
      </c>
      <c r="K21" s="348"/>
      <c r="L21" s="348"/>
      <c r="M21" s="348"/>
      <c r="N21" s="349">
        <v>0.18</v>
      </c>
      <c r="O21" s="349"/>
    </row>
    <row r="22" spans="1:15">
      <c r="B22" s="346" t="s">
        <v>98</v>
      </c>
      <c r="C22" s="346"/>
      <c r="D22" s="346">
        <v>24</v>
      </c>
      <c r="E22" s="346"/>
      <c r="F22" s="346"/>
      <c r="G22" s="347">
        <v>250</v>
      </c>
      <c r="H22" s="347"/>
      <c r="I22" s="347"/>
      <c r="J22" s="348">
        <v>0.32200000000000001</v>
      </c>
      <c r="K22" s="348"/>
      <c r="L22" s="348"/>
      <c r="M22" s="348"/>
      <c r="N22" s="349">
        <v>0.25</v>
      </c>
      <c r="O22" s="349"/>
    </row>
    <row r="23" spans="1:15">
      <c r="B23" s="346" t="s">
        <v>99</v>
      </c>
      <c r="C23" s="346"/>
      <c r="D23" s="346">
        <v>24</v>
      </c>
      <c r="E23" s="346"/>
      <c r="F23" s="346"/>
      <c r="G23" s="347">
        <v>345</v>
      </c>
      <c r="H23" s="347"/>
      <c r="I23" s="347"/>
      <c r="J23" s="348">
        <v>0.442</v>
      </c>
      <c r="K23" s="348"/>
      <c r="L23" s="348"/>
      <c r="M23" s="348"/>
      <c r="N23" s="349">
        <v>0.32</v>
      </c>
      <c r="O23" s="349"/>
    </row>
    <row r="24" spans="1:15">
      <c r="B24" s="346" t="s">
        <v>100</v>
      </c>
      <c r="C24" s="346"/>
      <c r="D24" s="346">
        <v>18</v>
      </c>
      <c r="E24" s="346"/>
      <c r="F24" s="346"/>
      <c r="G24" s="347">
        <v>421</v>
      </c>
      <c r="H24" s="347"/>
      <c r="I24" s="347"/>
      <c r="J24" s="348">
        <v>0.77</v>
      </c>
      <c r="K24" s="348"/>
      <c r="L24" s="348"/>
      <c r="M24" s="348"/>
      <c r="N24" s="349">
        <v>0.5</v>
      </c>
      <c r="O24" s="349"/>
    </row>
    <row r="25" spans="1:15">
      <c r="B25" s="346" t="s">
        <v>101</v>
      </c>
      <c r="C25" s="346"/>
      <c r="D25" s="346">
        <v>10</v>
      </c>
      <c r="E25" s="346"/>
      <c r="F25" s="346"/>
      <c r="G25" s="347">
        <v>510</v>
      </c>
      <c r="H25" s="347"/>
      <c r="I25" s="347"/>
      <c r="J25" s="348">
        <v>1.169</v>
      </c>
      <c r="K25" s="348"/>
      <c r="L25" s="348"/>
      <c r="M25" s="348"/>
      <c r="N25" s="349">
        <v>0.75</v>
      </c>
      <c r="O25" s="349"/>
    </row>
    <row r="26" spans="1:15">
      <c r="B26" s="346" t="s">
        <v>102</v>
      </c>
      <c r="C26" s="346"/>
      <c r="D26" s="346">
        <v>8</v>
      </c>
      <c r="E26" s="346"/>
      <c r="F26" s="346"/>
      <c r="G26" s="347">
        <v>575</v>
      </c>
      <c r="H26" s="347"/>
      <c r="I26" s="347"/>
      <c r="J26" s="348">
        <v>1.6539999999999999</v>
      </c>
      <c r="K26" s="348"/>
      <c r="L26" s="348"/>
      <c r="M26" s="348"/>
      <c r="N26" s="349">
        <v>1</v>
      </c>
      <c r="O26" s="349"/>
    </row>
    <row r="27" spans="1:15">
      <c r="B27" s="342" t="s">
        <v>103</v>
      </c>
      <c r="C27" s="342"/>
      <c r="D27" s="342">
        <v>5</v>
      </c>
      <c r="E27" s="342"/>
      <c r="F27" s="342"/>
      <c r="G27" s="343">
        <v>638</v>
      </c>
      <c r="H27" s="343"/>
      <c r="I27" s="343"/>
      <c r="J27" s="344">
        <v>2.5419999999999998</v>
      </c>
      <c r="K27" s="344"/>
      <c r="L27" s="344"/>
      <c r="M27" s="344"/>
      <c r="N27" s="345">
        <v>1.45</v>
      </c>
      <c r="O27" s="345"/>
    </row>
    <row r="29" spans="1:15">
      <c r="A29" s="218">
        <v>2</v>
      </c>
      <c r="B29" s="219" t="s">
        <v>72</v>
      </c>
      <c r="C29" s="220"/>
      <c r="D29" s="220"/>
      <c r="E29" s="220"/>
      <c r="F29" s="358">
        <v>0.6</v>
      </c>
      <c r="G29" s="358"/>
      <c r="H29" s="219" t="s">
        <v>252</v>
      </c>
      <c r="I29" s="220"/>
      <c r="J29" s="65"/>
      <c r="K29" s="274"/>
      <c r="L29" s="65"/>
      <c r="M29" s="65"/>
      <c r="N29" s="221"/>
      <c r="O29" s="65"/>
    </row>
    <row r="30" spans="1:15">
      <c r="A30" s="65"/>
      <c r="B30" s="65" t="s">
        <v>73</v>
      </c>
      <c r="C30" s="357">
        <v>0</v>
      </c>
      <c r="D30" s="357"/>
      <c r="E30" s="65" t="s">
        <v>74</v>
      </c>
      <c r="F30" s="65"/>
      <c r="G30" s="359">
        <v>21.84</v>
      </c>
      <c r="H30" s="360"/>
      <c r="I30" s="65"/>
      <c r="J30" s="65"/>
      <c r="K30" s="65"/>
      <c r="L30" s="65"/>
      <c r="M30" s="274" t="s">
        <v>75</v>
      </c>
      <c r="N30" s="222">
        <f>ROUND(G30*C30,2)</f>
        <v>0</v>
      </c>
      <c r="O30" s="65" t="s">
        <v>76</v>
      </c>
    </row>
    <row r="31" spans="1:15" ht="24">
      <c r="A31" s="65"/>
      <c r="B31" s="65" t="s">
        <v>304</v>
      </c>
      <c r="C31" s="352">
        <f>'1.ค่าวัสดุและดำเนินการ'!K24</f>
        <v>0</v>
      </c>
      <c r="D31" s="352"/>
      <c r="E31" s="65" t="s">
        <v>222</v>
      </c>
      <c r="F31" s="65"/>
      <c r="G31" s="65"/>
      <c r="H31" s="65"/>
      <c r="I31" s="65"/>
      <c r="J31" s="65"/>
      <c r="K31" s="65"/>
      <c r="L31" s="65"/>
      <c r="M31" s="274" t="s">
        <v>75</v>
      </c>
      <c r="N31" s="221">
        <f>'1.ค่าวัสดุและดำเนินการ'!K24</f>
        <v>0</v>
      </c>
      <c r="O31" s="65" t="s">
        <v>76</v>
      </c>
    </row>
    <row r="32" spans="1:15">
      <c r="A32" s="65"/>
      <c r="B32" s="65" t="s">
        <v>77</v>
      </c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274" t="s">
        <v>75</v>
      </c>
      <c r="N32" s="221">
        <f>L43</f>
        <v>93.83</v>
      </c>
      <c r="O32" s="65" t="s">
        <v>76</v>
      </c>
    </row>
    <row r="33" spans="1:15">
      <c r="A33" s="65"/>
      <c r="B33" s="65" t="s">
        <v>215</v>
      </c>
      <c r="C33" s="65"/>
      <c r="D33" s="353">
        <v>0.03</v>
      </c>
      <c r="E33" s="353"/>
      <c r="F33" s="65" t="s">
        <v>74</v>
      </c>
      <c r="G33" s="354">
        <f>'1.ค่าวัสดุและดำเนินการ'!K20</f>
        <v>621.47</v>
      </c>
      <c r="H33" s="351"/>
      <c r="I33" s="65"/>
      <c r="J33" s="65"/>
      <c r="K33" s="65"/>
      <c r="L33" s="65"/>
      <c r="M33" s="274" t="s">
        <v>75</v>
      </c>
      <c r="N33" s="222">
        <f>ROUND(D33*G33,2)</f>
        <v>18.64</v>
      </c>
      <c r="O33" s="65" t="s">
        <v>76</v>
      </c>
    </row>
    <row r="34" spans="1:15">
      <c r="A34" s="65"/>
      <c r="B34" s="65" t="s">
        <v>92</v>
      </c>
      <c r="C34" s="65"/>
      <c r="D34" s="355">
        <v>0</v>
      </c>
      <c r="E34" s="355"/>
      <c r="F34" s="65" t="s">
        <v>74</v>
      </c>
      <c r="G34" s="354">
        <f>คอนกรีต!J10</f>
        <v>2261.04</v>
      </c>
      <c r="H34" s="351"/>
      <c r="I34" s="65"/>
      <c r="J34" s="65"/>
      <c r="K34" s="65"/>
      <c r="L34" s="65"/>
      <c r="M34" s="274" t="s">
        <v>75</v>
      </c>
      <c r="N34" s="222">
        <f>ROUND(D34*G34,2)</f>
        <v>0</v>
      </c>
      <c r="O34" s="65" t="s">
        <v>76</v>
      </c>
    </row>
    <row r="35" spans="1:15">
      <c r="A35" s="65"/>
      <c r="B35" s="65" t="s">
        <v>78</v>
      </c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274" t="s">
        <v>75</v>
      </c>
      <c r="N35" s="224">
        <f>G51</f>
        <v>345</v>
      </c>
      <c r="O35" s="65" t="s">
        <v>76</v>
      </c>
    </row>
    <row r="36" spans="1:15">
      <c r="A36" s="65"/>
      <c r="B36" s="65" t="s">
        <v>79</v>
      </c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274" t="s">
        <v>75</v>
      </c>
      <c r="N36" s="225">
        <f>ROUND(SUM(N30:N35),2)</f>
        <v>457.47</v>
      </c>
      <c r="O36" s="65" t="s">
        <v>76</v>
      </c>
    </row>
    <row r="37" spans="1:15" ht="24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226" t="s">
        <v>80</v>
      </c>
      <c r="M37" s="274" t="s">
        <v>75</v>
      </c>
      <c r="N37" s="227">
        <f>ROUNDDOWN(N36,0)</f>
        <v>457</v>
      </c>
      <c r="O37" s="65" t="s">
        <v>76</v>
      </c>
    </row>
    <row r="38" spans="1:15" ht="24" thickTop="1">
      <c r="A38" s="65"/>
      <c r="B38" s="228" t="s">
        <v>13</v>
      </c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221"/>
      <c r="O38" s="65"/>
    </row>
    <row r="39" spans="1:15">
      <c r="A39" s="65"/>
      <c r="B39" s="65" t="s">
        <v>81</v>
      </c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221"/>
      <c r="O39" s="65"/>
    </row>
    <row r="40" spans="1:15">
      <c r="A40" s="65"/>
      <c r="B40" s="65" t="s">
        <v>82</v>
      </c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221"/>
      <c r="O40" s="65"/>
    </row>
    <row r="41" spans="1:15">
      <c r="A41" s="65"/>
      <c r="B41" s="65" t="s">
        <v>83</v>
      </c>
      <c r="C41" s="65"/>
      <c r="D41" s="356">
        <v>58</v>
      </c>
      <c r="E41" s="356"/>
      <c r="F41" s="274" t="s">
        <v>84</v>
      </c>
      <c r="G41" s="356">
        <v>150.15</v>
      </c>
      <c r="H41" s="356"/>
      <c r="I41" s="229" t="s">
        <v>85</v>
      </c>
      <c r="J41" s="65"/>
      <c r="K41" s="274" t="s">
        <v>75</v>
      </c>
      <c r="L41" s="230">
        <f>(G41*13)+300</f>
        <v>2251.9499999999998</v>
      </c>
      <c r="M41" s="65" t="s">
        <v>86</v>
      </c>
      <c r="N41" s="221"/>
      <c r="O41" s="65"/>
    </row>
    <row r="42" spans="1:15">
      <c r="A42" s="65"/>
      <c r="B42" s="65"/>
      <c r="C42" s="65"/>
      <c r="D42" s="274"/>
      <c r="E42" s="274"/>
      <c r="F42" s="274"/>
      <c r="G42" s="274"/>
      <c r="H42" s="274"/>
      <c r="I42" s="229"/>
      <c r="J42" s="65"/>
      <c r="K42" s="274"/>
      <c r="L42" s="65"/>
      <c r="M42" s="65"/>
      <c r="N42" s="221"/>
      <c r="O42" s="65"/>
    </row>
    <row r="43" spans="1:15">
      <c r="A43" s="65"/>
      <c r="B43" s="65" t="s">
        <v>87</v>
      </c>
      <c r="C43" s="65"/>
      <c r="D43" s="65"/>
      <c r="E43" s="65"/>
      <c r="F43" s="351">
        <f>+L41</f>
        <v>2251.9499999999998</v>
      </c>
      <c r="G43" s="351"/>
      <c r="H43" s="231" t="s">
        <v>88</v>
      </c>
      <c r="I43" s="352">
        <f>D51</f>
        <v>24</v>
      </c>
      <c r="J43" s="351"/>
      <c r="K43" s="274" t="s">
        <v>75</v>
      </c>
      <c r="L43" s="222">
        <f>ROUND(F43/I43,2)</f>
        <v>93.83</v>
      </c>
      <c r="M43" s="65" t="s">
        <v>76</v>
      </c>
      <c r="N43" s="221"/>
      <c r="O43" s="65"/>
    </row>
    <row r="44" spans="1:15">
      <c r="A44" s="65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221"/>
      <c r="O44" s="65"/>
    </row>
    <row r="46" spans="1:15">
      <c r="B46" s="350" t="s">
        <v>89</v>
      </c>
      <c r="C46" s="350"/>
      <c r="D46" s="350" t="s">
        <v>90</v>
      </c>
      <c r="E46" s="350"/>
      <c r="F46" s="350"/>
      <c r="G46" s="350" t="s">
        <v>78</v>
      </c>
      <c r="H46" s="350"/>
      <c r="I46" s="350"/>
      <c r="J46" s="350" t="s">
        <v>91</v>
      </c>
      <c r="K46" s="350"/>
      <c r="L46" s="350"/>
      <c r="M46" s="350"/>
      <c r="N46" s="350" t="s">
        <v>92</v>
      </c>
      <c r="O46" s="350"/>
    </row>
    <row r="47" spans="1:15">
      <c r="B47" s="346" t="s">
        <v>93</v>
      </c>
      <c r="C47" s="346"/>
      <c r="D47" s="346" t="s">
        <v>93</v>
      </c>
      <c r="E47" s="346"/>
      <c r="F47" s="346"/>
      <c r="G47" s="346" t="s">
        <v>94</v>
      </c>
      <c r="H47" s="346"/>
      <c r="I47" s="346"/>
      <c r="J47" s="346" t="s">
        <v>95</v>
      </c>
      <c r="K47" s="346"/>
      <c r="L47" s="346"/>
      <c r="M47" s="346"/>
      <c r="N47" s="346" t="s">
        <v>95</v>
      </c>
      <c r="O47" s="346"/>
    </row>
    <row r="48" spans="1:15">
      <c r="B48" s="346" t="s">
        <v>96</v>
      </c>
      <c r="C48" s="346"/>
      <c r="D48" s="346">
        <v>48</v>
      </c>
      <c r="E48" s="346"/>
      <c r="F48" s="346"/>
      <c r="G48" s="347">
        <v>140</v>
      </c>
      <c r="H48" s="347"/>
      <c r="I48" s="347"/>
      <c r="J48" s="348">
        <v>0.126</v>
      </c>
      <c r="K48" s="348"/>
      <c r="L48" s="348"/>
      <c r="M48" s="348"/>
      <c r="N48" s="349">
        <v>0.12</v>
      </c>
      <c r="O48" s="349"/>
    </row>
    <row r="49" spans="2:15">
      <c r="B49" s="346" t="s">
        <v>97</v>
      </c>
      <c r="C49" s="346"/>
      <c r="D49" s="346">
        <v>32</v>
      </c>
      <c r="E49" s="346"/>
      <c r="F49" s="346"/>
      <c r="G49" s="347">
        <v>140</v>
      </c>
      <c r="H49" s="347"/>
      <c r="I49" s="347"/>
      <c r="J49" s="348">
        <v>0.21199999999999999</v>
      </c>
      <c r="K49" s="348"/>
      <c r="L49" s="348"/>
      <c r="M49" s="348"/>
      <c r="N49" s="349">
        <v>0.18</v>
      </c>
      <c r="O49" s="349"/>
    </row>
    <row r="50" spans="2:15">
      <c r="B50" s="346" t="s">
        <v>98</v>
      </c>
      <c r="C50" s="346"/>
      <c r="D50" s="346">
        <v>24</v>
      </c>
      <c r="E50" s="346"/>
      <c r="F50" s="346"/>
      <c r="G50" s="347">
        <v>250</v>
      </c>
      <c r="H50" s="347"/>
      <c r="I50" s="347"/>
      <c r="J50" s="348">
        <v>0.32200000000000001</v>
      </c>
      <c r="K50" s="348"/>
      <c r="L50" s="348"/>
      <c r="M50" s="348"/>
      <c r="N50" s="349">
        <v>0.25</v>
      </c>
      <c r="O50" s="349"/>
    </row>
    <row r="51" spans="2:15">
      <c r="B51" s="346" t="s">
        <v>99</v>
      </c>
      <c r="C51" s="346"/>
      <c r="D51" s="346">
        <v>24</v>
      </c>
      <c r="E51" s="346"/>
      <c r="F51" s="346"/>
      <c r="G51" s="347">
        <v>345</v>
      </c>
      <c r="H51" s="347"/>
      <c r="I51" s="347"/>
      <c r="J51" s="348">
        <v>0.442</v>
      </c>
      <c r="K51" s="348"/>
      <c r="L51" s="348"/>
      <c r="M51" s="348"/>
      <c r="N51" s="349">
        <v>0.32</v>
      </c>
      <c r="O51" s="349"/>
    </row>
    <row r="52" spans="2:15">
      <c r="B52" s="346" t="s">
        <v>100</v>
      </c>
      <c r="C52" s="346"/>
      <c r="D52" s="346">
        <v>18</v>
      </c>
      <c r="E52" s="346"/>
      <c r="F52" s="346"/>
      <c r="G52" s="347">
        <v>421</v>
      </c>
      <c r="H52" s="347"/>
      <c r="I52" s="347"/>
      <c r="J52" s="348">
        <v>0.77</v>
      </c>
      <c r="K52" s="348"/>
      <c r="L52" s="348"/>
      <c r="M52" s="348"/>
      <c r="N52" s="349">
        <v>0.5</v>
      </c>
      <c r="O52" s="349"/>
    </row>
    <row r="53" spans="2:15">
      <c r="B53" s="346" t="s">
        <v>101</v>
      </c>
      <c r="C53" s="346"/>
      <c r="D53" s="346">
        <v>10</v>
      </c>
      <c r="E53" s="346"/>
      <c r="F53" s="346"/>
      <c r="G53" s="347">
        <v>510</v>
      </c>
      <c r="H53" s="347"/>
      <c r="I53" s="347"/>
      <c r="J53" s="348">
        <v>1.169</v>
      </c>
      <c r="K53" s="348"/>
      <c r="L53" s="348"/>
      <c r="M53" s="348"/>
      <c r="N53" s="349">
        <v>0.75</v>
      </c>
      <c r="O53" s="349"/>
    </row>
    <row r="54" spans="2:15">
      <c r="B54" s="346" t="s">
        <v>102</v>
      </c>
      <c r="C54" s="346"/>
      <c r="D54" s="346">
        <v>8</v>
      </c>
      <c r="E54" s="346"/>
      <c r="F54" s="346"/>
      <c r="G54" s="347">
        <v>575</v>
      </c>
      <c r="H54" s="347"/>
      <c r="I54" s="347"/>
      <c r="J54" s="348">
        <v>1.6539999999999999</v>
      </c>
      <c r="K54" s="348"/>
      <c r="L54" s="348"/>
      <c r="M54" s="348"/>
      <c r="N54" s="349">
        <v>1</v>
      </c>
      <c r="O54" s="349"/>
    </row>
    <row r="55" spans="2:15">
      <c r="B55" s="342" t="s">
        <v>103</v>
      </c>
      <c r="C55" s="342"/>
      <c r="D55" s="342">
        <v>5</v>
      </c>
      <c r="E55" s="342"/>
      <c r="F55" s="342"/>
      <c r="G55" s="343">
        <v>638</v>
      </c>
      <c r="H55" s="343"/>
      <c r="I55" s="343"/>
      <c r="J55" s="344">
        <v>2.5419999999999998</v>
      </c>
      <c r="K55" s="344"/>
      <c r="L55" s="344"/>
      <c r="M55" s="344"/>
      <c r="N55" s="345">
        <v>1.45</v>
      </c>
      <c r="O55" s="345"/>
    </row>
  </sheetData>
  <mergeCells count="124">
    <mergeCell ref="F15:G15"/>
    <mergeCell ref="I15:J15"/>
    <mergeCell ref="F1:G1"/>
    <mergeCell ref="C2:D2"/>
    <mergeCell ref="G2:H2"/>
    <mergeCell ref="C3:D3"/>
    <mergeCell ref="D13:E13"/>
    <mergeCell ref="G13:H13"/>
    <mergeCell ref="D5:E5"/>
    <mergeCell ref="D6:E6"/>
    <mergeCell ref="G5:H5"/>
    <mergeCell ref="G6:H6"/>
    <mergeCell ref="B19:C19"/>
    <mergeCell ref="D19:F19"/>
    <mergeCell ref="G19:I19"/>
    <mergeCell ref="J19:M19"/>
    <mergeCell ref="N19:O19"/>
    <mergeCell ref="B18:C18"/>
    <mergeCell ref="D18:F18"/>
    <mergeCell ref="G18:I18"/>
    <mergeCell ref="J18:M18"/>
    <mergeCell ref="N18:O18"/>
    <mergeCell ref="B20:C20"/>
    <mergeCell ref="D20:F20"/>
    <mergeCell ref="G20:I20"/>
    <mergeCell ref="J20:M20"/>
    <mergeCell ref="N20:O20"/>
    <mergeCell ref="B21:C21"/>
    <mergeCell ref="D21:F21"/>
    <mergeCell ref="G21:I21"/>
    <mergeCell ref="J21:M21"/>
    <mergeCell ref="N21:O21"/>
    <mergeCell ref="B22:C22"/>
    <mergeCell ref="D22:F22"/>
    <mergeCell ref="G22:I22"/>
    <mergeCell ref="J22:M22"/>
    <mergeCell ref="N22:O22"/>
    <mergeCell ref="B23:C23"/>
    <mergeCell ref="D23:F23"/>
    <mergeCell ref="G23:I23"/>
    <mergeCell ref="J23:M23"/>
    <mergeCell ref="N23:O23"/>
    <mergeCell ref="B24:C24"/>
    <mergeCell ref="D24:F24"/>
    <mergeCell ref="G24:I24"/>
    <mergeCell ref="J24:M24"/>
    <mergeCell ref="N24:O24"/>
    <mergeCell ref="B25:C25"/>
    <mergeCell ref="D25:F25"/>
    <mergeCell ref="G25:I25"/>
    <mergeCell ref="J25:M25"/>
    <mergeCell ref="N25:O25"/>
    <mergeCell ref="F29:G29"/>
    <mergeCell ref="G30:H30"/>
    <mergeCell ref="C31:D31"/>
    <mergeCell ref="B26:C26"/>
    <mergeCell ref="D26:F26"/>
    <mergeCell ref="G26:I26"/>
    <mergeCell ref="J26:M26"/>
    <mergeCell ref="N26:O26"/>
    <mergeCell ref="B27:C27"/>
    <mergeCell ref="D27:F27"/>
    <mergeCell ref="G27:I27"/>
    <mergeCell ref="J27:M27"/>
    <mergeCell ref="N27:O27"/>
    <mergeCell ref="F43:G43"/>
    <mergeCell ref="I43:J43"/>
    <mergeCell ref="D33:E33"/>
    <mergeCell ref="G33:H33"/>
    <mergeCell ref="D34:E34"/>
    <mergeCell ref="G34:H34"/>
    <mergeCell ref="D41:E41"/>
    <mergeCell ref="G41:H41"/>
    <mergeCell ref="C30:D30"/>
    <mergeCell ref="B47:C47"/>
    <mergeCell ref="D47:F47"/>
    <mergeCell ref="G47:I47"/>
    <mergeCell ref="J47:M47"/>
    <mergeCell ref="N47:O47"/>
    <mergeCell ref="B46:C46"/>
    <mergeCell ref="D46:F46"/>
    <mergeCell ref="G46:I46"/>
    <mergeCell ref="J46:M46"/>
    <mergeCell ref="N46:O46"/>
    <mergeCell ref="B49:C49"/>
    <mergeCell ref="D49:F49"/>
    <mergeCell ref="G49:I49"/>
    <mergeCell ref="J49:M49"/>
    <mergeCell ref="N49:O49"/>
    <mergeCell ref="B48:C48"/>
    <mergeCell ref="D48:F48"/>
    <mergeCell ref="G48:I48"/>
    <mergeCell ref="J48:M48"/>
    <mergeCell ref="N48:O48"/>
    <mergeCell ref="B51:C51"/>
    <mergeCell ref="D51:F51"/>
    <mergeCell ref="G51:I51"/>
    <mergeCell ref="J51:M51"/>
    <mergeCell ref="N51:O51"/>
    <mergeCell ref="B50:C50"/>
    <mergeCell ref="D50:F50"/>
    <mergeCell ref="G50:I50"/>
    <mergeCell ref="J50:M50"/>
    <mergeCell ref="N50:O50"/>
    <mergeCell ref="B53:C53"/>
    <mergeCell ref="D53:F53"/>
    <mergeCell ref="G53:I53"/>
    <mergeCell ref="J53:M53"/>
    <mergeCell ref="N53:O53"/>
    <mergeCell ref="B52:C52"/>
    <mergeCell ref="D52:F52"/>
    <mergeCell ref="G52:I52"/>
    <mergeCell ref="J52:M52"/>
    <mergeCell ref="N52:O52"/>
    <mergeCell ref="B55:C55"/>
    <mergeCell ref="D55:F55"/>
    <mergeCell ref="G55:I55"/>
    <mergeCell ref="J55:M55"/>
    <mergeCell ref="N55:O55"/>
    <mergeCell ref="B54:C54"/>
    <mergeCell ref="D54:F54"/>
    <mergeCell ref="G54:I54"/>
    <mergeCell ref="J54:M54"/>
    <mergeCell ref="N54:O54"/>
  </mergeCells>
  <printOptions horizontalCentered="1"/>
  <pageMargins left="0.59055118110236227" right="0" top="0.59055118110236227" bottom="0" header="0.31496062992125984" footer="0.31496062992125984"/>
  <pageSetup paperSize="9" scale="66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5"/>
  <sheetViews>
    <sheetView view="pageBreakPreview" topLeftCell="A13" zoomScaleSheetLayoutView="100" workbookViewId="0">
      <selection activeCell="G24" sqref="G24"/>
    </sheetView>
  </sheetViews>
  <sheetFormatPr defaultRowHeight="15.6"/>
  <cols>
    <col min="1" max="1" width="4.88671875" style="208" customWidth="1"/>
    <col min="2" max="2" width="17.21875" style="208" customWidth="1"/>
    <col min="3" max="3" width="22.44140625" style="208" customWidth="1"/>
    <col min="4" max="4" width="5.6640625" style="208" customWidth="1"/>
    <col min="5" max="5" width="6.33203125" style="208" customWidth="1"/>
    <col min="6" max="6" width="10.6640625" style="208" customWidth="1"/>
    <col min="7" max="7" width="11.44140625" style="208" customWidth="1"/>
    <col min="8" max="16384" width="8.88671875" style="208"/>
  </cols>
  <sheetData>
    <row r="1" spans="1:8" ht="23.4">
      <c r="A1" s="201" t="s">
        <v>21</v>
      </c>
      <c r="B1" s="201"/>
      <c r="C1" s="201" t="s">
        <v>0</v>
      </c>
      <c r="D1" s="201" t="s">
        <v>22</v>
      </c>
      <c r="E1" s="201" t="s">
        <v>1</v>
      </c>
      <c r="F1" s="232" t="s">
        <v>62</v>
      </c>
      <c r="G1" s="201" t="s">
        <v>194</v>
      </c>
      <c r="H1" s="201" t="s">
        <v>13</v>
      </c>
    </row>
    <row r="2" spans="1:8" ht="23.4">
      <c r="A2" s="231">
        <v>1</v>
      </c>
      <c r="B2" s="67" t="s">
        <v>356</v>
      </c>
      <c r="C2" s="65"/>
      <c r="D2" s="233"/>
      <c r="E2" s="68"/>
      <c r="F2" s="234"/>
      <c r="G2" s="65"/>
      <c r="H2" s="68" t="s">
        <v>195</v>
      </c>
    </row>
    <row r="3" spans="1:8" ht="23.4">
      <c r="A3" s="65"/>
      <c r="B3" s="65" t="s">
        <v>197</v>
      </c>
      <c r="C3" s="65"/>
      <c r="D3" s="235">
        <v>1</v>
      </c>
      <c r="E3" s="68" t="s">
        <v>164</v>
      </c>
      <c r="F3" s="236">
        <f>'1.ค่าวัสดุและดำเนินการ'!K26</f>
        <v>1121.5</v>
      </c>
      <c r="G3" s="237">
        <f>D3*F3</f>
        <v>1121.5</v>
      </c>
      <c r="H3" s="68"/>
    </row>
    <row r="4" spans="1:8" ht="23.4">
      <c r="A4" s="65"/>
      <c r="B4" s="65" t="s">
        <v>198</v>
      </c>
      <c r="C4" s="65"/>
      <c r="D4" s="235">
        <v>0.3</v>
      </c>
      <c r="E4" s="68" t="s">
        <v>164</v>
      </c>
      <c r="F4" s="236">
        <f>'1.ค่าวัสดุและดำเนินการ'!K27</f>
        <v>794.39</v>
      </c>
      <c r="G4" s="237">
        <f>D4*F4</f>
        <v>238.31699999999998</v>
      </c>
      <c r="H4" s="231"/>
    </row>
    <row r="5" spans="1:8" ht="23.4">
      <c r="A5" s="65"/>
      <c r="B5" s="65" t="s">
        <v>201</v>
      </c>
      <c r="C5" s="65"/>
      <c r="D5" s="235">
        <v>0.3</v>
      </c>
      <c r="E5" s="68" t="s">
        <v>202</v>
      </c>
      <c r="F5" s="236">
        <f>'1.ค่าวัสดุและดำเนินการ'!K28</f>
        <v>0</v>
      </c>
      <c r="G5" s="237">
        <f>D5*F5</f>
        <v>0</v>
      </c>
      <c r="H5" s="231"/>
    </row>
    <row r="6" spans="1:8" ht="23.4">
      <c r="A6" s="65"/>
      <c r="B6" s="65" t="s">
        <v>199</v>
      </c>
      <c r="C6" s="65"/>
      <c r="D6" s="235">
        <f>D3*25%</f>
        <v>0.25</v>
      </c>
      <c r="E6" s="68" t="s">
        <v>106</v>
      </c>
      <c r="F6" s="236">
        <f>'1.ค่าวัสดุและดำเนินการ'!K29</f>
        <v>44.39</v>
      </c>
      <c r="G6" s="237">
        <f>D6*F6</f>
        <v>11.0975</v>
      </c>
      <c r="H6" s="231"/>
    </row>
    <row r="7" spans="1:8" ht="23.4">
      <c r="A7" s="65"/>
      <c r="B7" s="65" t="s">
        <v>203</v>
      </c>
      <c r="C7" s="65"/>
      <c r="D7" s="235">
        <v>1</v>
      </c>
      <c r="E7" s="68" t="s">
        <v>20</v>
      </c>
      <c r="F7" s="236">
        <v>0</v>
      </c>
      <c r="G7" s="237">
        <f>D7*F7</f>
        <v>0</v>
      </c>
      <c r="H7" s="231"/>
    </row>
    <row r="8" spans="1:8" ht="23.4">
      <c r="A8" s="65"/>
      <c r="B8" s="65"/>
      <c r="C8" s="226" t="s">
        <v>12</v>
      </c>
      <c r="D8" s="235"/>
      <c r="E8" s="68"/>
      <c r="F8" s="238" t="s">
        <v>129</v>
      </c>
      <c r="G8" s="239">
        <f>ROUND(SUM(G3:G7),2)</f>
        <v>1370.91</v>
      </c>
      <c r="H8" s="231"/>
    </row>
    <row r="9" spans="1:8" ht="23.4">
      <c r="A9" s="65"/>
      <c r="B9" s="65"/>
      <c r="C9" s="226" t="s">
        <v>213</v>
      </c>
      <c r="D9" s="240">
        <v>1</v>
      </c>
      <c r="E9" s="68" t="s">
        <v>20</v>
      </c>
      <c r="F9" s="241" t="s">
        <v>129</v>
      </c>
      <c r="G9" s="242">
        <f>ROUND(G8/4,2)</f>
        <v>342.73</v>
      </c>
      <c r="H9" s="243"/>
    </row>
    <row r="10" spans="1:8" ht="23.4">
      <c r="A10" s="65"/>
      <c r="B10" s="65" t="s">
        <v>196</v>
      </c>
      <c r="C10" s="65"/>
      <c r="D10" s="235">
        <v>1</v>
      </c>
      <c r="E10" s="68" t="s">
        <v>20</v>
      </c>
      <c r="F10" s="238" t="s">
        <v>129</v>
      </c>
      <c r="G10" s="244">
        <v>142</v>
      </c>
      <c r="H10" s="231"/>
    </row>
    <row r="11" spans="1:8" ht="24" thickBot="1">
      <c r="A11" s="201"/>
      <c r="B11" s="201"/>
      <c r="C11" s="245" t="s">
        <v>205</v>
      </c>
      <c r="D11" s="233">
        <v>1</v>
      </c>
      <c r="E11" s="68" t="s">
        <v>20</v>
      </c>
      <c r="F11" s="238" t="s">
        <v>129</v>
      </c>
      <c r="G11" s="246">
        <f>ROUNDDOWN(G9+G10,0)</f>
        <v>484</v>
      </c>
      <c r="H11" s="231" t="s">
        <v>200</v>
      </c>
    </row>
    <row r="12" spans="1:8" ht="16.2" thickTop="1"/>
    <row r="14" spans="1:8" ht="23.4">
      <c r="A14" s="201" t="s">
        <v>21</v>
      </c>
      <c r="B14" s="201"/>
      <c r="C14" s="201" t="s">
        <v>0</v>
      </c>
      <c r="D14" s="201" t="s">
        <v>22</v>
      </c>
      <c r="E14" s="201" t="s">
        <v>1</v>
      </c>
      <c r="F14" s="232" t="s">
        <v>62</v>
      </c>
      <c r="G14" s="201" t="s">
        <v>194</v>
      </c>
      <c r="H14" s="201" t="s">
        <v>13</v>
      </c>
    </row>
    <row r="15" spans="1:8" ht="23.4">
      <c r="A15" s="231">
        <v>2</v>
      </c>
      <c r="B15" s="67" t="s">
        <v>357</v>
      </c>
      <c r="C15" s="65"/>
      <c r="D15" s="233"/>
      <c r="E15" s="68"/>
      <c r="F15" s="234"/>
      <c r="G15" s="65"/>
      <c r="H15" s="68" t="s">
        <v>195</v>
      </c>
    </row>
    <row r="16" spans="1:8" ht="23.4">
      <c r="A16" s="65"/>
      <c r="B16" s="65" t="s">
        <v>197</v>
      </c>
      <c r="C16" s="65"/>
      <c r="D16" s="235">
        <v>1</v>
      </c>
      <c r="E16" s="68" t="s">
        <v>164</v>
      </c>
      <c r="F16" s="236">
        <f>'1.ค่าวัสดุและดำเนินการ'!K26</f>
        <v>1121.5</v>
      </c>
      <c r="G16" s="237">
        <f>D16*F16</f>
        <v>1121.5</v>
      </c>
      <c r="H16" s="68"/>
    </row>
    <row r="17" spans="1:8" ht="23.4">
      <c r="A17" s="65"/>
      <c r="B17" s="65" t="s">
        <v>198</v>
      </c>
      <c r="C17" s="65"/>
      <c r="D17" s="235">
        <v>0.3</v>
      </c>
      <c r="E17" s="68" t="s">
        <v>164</v>
      </c>
      <c r="F17" s="236">
        <f>'1.ค่าวัสดุและดำเนินการ'!K27</f>
        <v>794.39</v>
      </c>
      <c r="G17" s="237">
        <f>D17*F17</f>
        <v>238.31699999999998</v>
      </c>
      <c r="H17" s="231"/>
    </row>
    <row r="18" spans="1:8" ht="23.4">
      <c r="A18" s="65"/>
      <c r="B18" s="65" t="s">
        <v>201</v>
      </c>
      <c r="C18" s="65"/>
      <c r="D18" s="235">
        <v>0.3</v>
      </c>
      <c r="E18" s="68" t="s">
        <v>202</v>
      </c>
      <c r="F18" s="236">
        <f>'1.ค่าวัสดุและดำเนินการ'!K28</f>
        <v>0</v>
      </c>
      <c r="G18" s="237">
        <f>D18*F18</f>
        <v>0</v>
      </c>
      <c r="H18" s="231"/>
    </row>
    <row r="19" spans="1:8" ht="23.4">
      <c r="A19" s="65"/>
      <c r="B19" s="65" t="s">
        <v>199</v>
      </c>
      <c r="C19" s="65"/>
      <c r="D19" s="235">
        <f>D16*25%</f>
        <v>0.25</v>
      </c>
      <c r="E19" s="68" t="s">
        <v>106</v>
      </c>
      <c r="F19" s="236">
        <f>'1.ค่าวัสดุและดำเนินการ'!K29</f>
        <v>44.39</v>
      </c>
      <c r="G19" s="237">
        <f>D19*F19</f>
        <v>11.0975</v>
      </c>
      <c r="H19" s="231"/>
    </row>
    <row r="20" spans="1:8" ht="23.4">
      <c r="A20" s="65"/>
      <c r="B20" s="65" t="s">
        <v>203</v>
      </c>
      <c r="C20" s="65"/>
      <c r="D20" s="235">
        <v>1</v>
      </c>
      <c r="E20" s="68" t="s">
        <v>20</v>
      </c>
      <c r="F20" s="236">
        <v>0</v>
      </c>
      <c r="G20" s="237">
        <f>D20*F20</f>
        <v>0</v>
      </c>
      <c r="H20" s="231"/>
    </row>
    <row r="21" spans="1:8" ht="23.4">
      <c r="A21" s="65"/>
      <c r="B21" s="65"/>
      <c r="C21" s="226" t="s">
        <v>12</v>
      </c>
      <c r="D21" s="235"/>
      <c r="E21" s="68"/>
      <c r="F21" s="238" t="s">
        <v>129</v>
      </c>
      <c r="G21" s="239">
        <f>ROUND(SUM(G16:G20),2)</f>
        <v>1370.91</v>
      </c>
      <c r="H21" s="231"/>
    </row>
    <row r="22" spans="1:8" ht="23.4">
      <c r="A22" s="65"/>
      <c r="B22" s="65"/>
      <c r="C22" s="226" t="s">
        <v>204</v>
      </c>
      <c r="D22" s="240">
        <v>1</v>
      </c>
      <c r="E22" s="68" t="s">
        <v>20</v>
      </c>
      <c r="F22" s="241" t="s">
        <v>129</v>
      </c>
      <c r="G22" s="242">
        <f>ROUND(G21/5,2)</f>
        <v>274.18</v>
      </c>
      <c r="H22" s="243"/>
    </row>
    <row r="23" spans="1:8" ht="23.4">
      <c r="A23" s="65"/>
      <c r="B23" s="65" t="s">
        <v>196</v>
      </c>
      <c r="C23" s="65"/>
      <c r="D23" s="235">
        <v>1</v>
      </c>
      <c r="E23" s="68" t="s">
        <v>20</v>
      </c>
      <c r="F23" s="238" t="s">
        <v>129</v>
      </c>
      <c r="G23" s="244">
        <v>142</v>
      </c>
      <c r="H23" s="231"/>
    </row>
    <row r="24" spans="1:8" ht="24" thickBot="1">
      <c r="A24" s="201"/>
      <c r="B24" s="201"/>
      <c r="C24" s="245" t="s">
        <v>205</v>
      </c>
      <c r="D24" s="233">
        <v>1</v>
      </c>
      <c r="E24" s="68" t="s">
        <v>20</v>
      </c>
      <c r="F24" s="238" t="s">
        <v>129</v>
      </c>
      <c r="G24" s="246">
        <f>ROUNDDOWN(G22+G23,0)</f>
        <v>416</v>
      </c>
      <c r="H24" s="231" t="s">
        <v>200</v>
      </c>
    </row>
    <row r="25" spans="1:8" ht="16.2" thickTop="1"/>
  </sheetData>
  <pageMargins left="0.7" right="0.7" top="0.75" bottom="0.75" header="0.3" footer="0.3"/>
  <pageSetup paperSize="9" scale="9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9"/>
  <sheetViews>
    <sheetView view="pageBreakPreview" topLeftCell="A11" zoomScaleNormal="100" zoomScaleSheetLayoutView="100" workbookViewId="0">
      <selection activeCell="J9" sqref="J9"/>
    </sheetView>
  </sheetViews>
  <sheetFormatPr defaultColWidth="9" defaultRowHeight="23.4"/>
  <cols>
    <col min="1" max="1" width="6.88671875" style="27" customWidth="1"/>
    <col min="2" max="2" width="20" style="27" customWidth="1"/>
    <col min="3" max="3" width="4.77734375" style="27" customWidth="1"/>
    <col min="4" max="4" width="4.109375" style="27" customWidth="1"/>
    <col min="5" max="5" width="9.44140625" style="27" customWidth="1"/>
    <col min="6" max="10" width="11.6640625" style="27" customWidth="1"/>
    <col min="11" max="16384" width="9" style="27"/>
  </cols>
  <sheetData>
    <row r="1" spans="1:11">
      <c r="A1" s="65" t="s">
        <v>228</v>
      </c>
      <c r="B1" s="202"/>
      <c r="C1" s="202"/>
      <c r="D1" s="202"/>
      <c r="E1" s="202"/>
      <c r="F1" s="202"/>
      <c r="G1" s="202"/>
      <c r="H1" s="202"/>
      <c r="I1" s="202"/>
      <c r="J1" s="202"/>
    </row>
    <row r="2" spans="1:11">
      <c r="A2" s="65" t="s">
        <v>135</v>
      </c>
      <c r="B2" s="202"/>
      <c r="C2" s="202"/>
      <c r="D2" s="202"/>
      <c r="E2" s="202"/>
      <c r="F2" s="202"/>
      <c r="G2" s="202"/>
      <c r="H2" s="202"/>
      <c r="I2" s="202"/>
      <c r="J2" s="202"/>
    </row>
    <row r="3" spans="1:11" ht="14.25" customHeight="1">
      <c r="A3" s="365" t="s">
        <v>136</v>
      </c>
      <c r="B3" s="366"/>
      <c r="C3" s="366"/>
      <c r="D3" s="366"/>
      <c r="E3" s="366"/>
      <c r="F3" s="365" t="s">
        <v>137</v>
      </c>
      <c r="G3" s="361" t="s">
        <v>138</v>
      </c>
      <c r="H3" s="361" t="s">
        <v>139</v>
      </c>
      <c r="I3" s="361" t="s">
        <v>140</v>
      </c>
      <c r="J3" s="361" t="s">
        <v>141</v>
      </c>
    </row>
    <row r="4" spans="1:11" ht="14.25" customHeight="1">
      <c r="A4" s="367"/>
      <c r="B4" s="368"/>
      <c r="C4" s="368"/>
      <c r="D4" s="368"/>
      <c r="E4" s="368"/>
      <c r="F4" s="367"/>
      <c r="G4" s="362"/>
      <c r="H4" s="362"/>
      <c r="I4" s="362"/>
      <c r="J4" s="362"/>
    </row>
    <row r="5" spans="1:11">
      <c r="A5" s="363" t="s">
        <v>142</v>
      </c>
      <c r="B5" s="364"/>
      <c r="C5" s="364"/>
      <c r="D5" s="364"/>
      <c r="E5" s="364"/>
      <c r="F5" s="247" t="s">
        <v>143</v>
      </c>
      <c r="G5" s="247" t="s">
        <v>144</v>
      </c>
      <c r="H5" s="248" t="s">
        <v>145</v>
      </c>
      <c r="I5" s="248" t="s">
        <v>146</v>
      </c>
      <c r="J5" s="248" t="s">
        <v>147</v>
      </c>
    </row>
    <row r="6" spans="1:11">
      <c r="A6" s="249" t="s">
        <v>148</v>
      </c>
      <c r="B6" s="202"/>
      <c r="C6" s="210">
        <v>1.05</v>
      </c>
      <c r="D6" s="210" t="s">
        <v>123</v>
      </c>
      <c r="E6" s="250">
        <f>'1.ค่าวัสดุและดำเนินการ'!K19</f>
        <v>2486.6</v>
      </c>
      <c r="F6" s="251">
        <f>ROUND($E$6*$C$6*0.4,2)</f>
        <v>1044.3699999999999</v>
      </c>
      <c r="G6" s="252">
        <f>ROUND($E$6*$C$6*0.35,2)</f>
        <v>913.83</v>
      </c>
      <c r="H6" s="252">
        <f>ROUND($E$6*$C$6*0.32,2)</f>
        <v>835.5</v>
      </c>
      <c r="I6" s="252">
        <f>ROUND($E$6*$C$6*0.29,2)</f>
        <v>757.17</v>
      </c>
      <c r="J6" s="252">
        <f>ROUND($E$6*$C$6*0.24,2)</f>
        <v>626.62</v>
      </c>
    </row>
    <row r="7" spans="1:11">
      <c r="A7" s="249" t="s">
        <v>149</v>
      </c>
      <c r="B7" s="202"/>
      <c r="C7" s="253">
        <v>1.2</v>
      </c>
      <c r="D7" s="210" t="s">
        <v>123</v>
      </c>
      <c r="E7" s="254">
        <f>'1.ค่าวัสดุและดำเนินการ'!K20</f>
        <v>621.47</v>
      </c>
      <c r="F7" s="251">
        <f>ROUND($E$7*$C$7*0.524,2)</f>
        <v>390.78</v>
      </c>
      <c r="G7" s="252">
        <f>ROUND($E$7*$C$7*0.572,2)</f>
        <v>426.58</v>
      </c>
      <c r="H7" s="252">
        <f>ROUND($E$7*$C$7*0.596,2)</f>
        <v>444.48</v>
      </c>
      <c r="I7" s="252">
        <f>ROUND($E$7*$C$7*0.62,2)</f>
        <v>462.37</v>
      </c>
      <c r="J7" s="252">
        <f>ROUND($E$7*$C$7*0.52,2)</f>
        <v>387.8</v>
      </c>
    </row>
    <row r="8" spans="1:11">
      <c r="A8" s="249" t="s">
        <v>150</v>
      </c>
      <c r="B8" s="202"/>
      <c r="C8" s="210">
        <v>1.1499999999999999</v>
      </c>
      <c r="D8" s="210" t="s">
        <v>123</v>
      </c>
      <c r="E8" s="254">
        <f>'1.ค่าวัสดุและดำเนินการ'!K21</f>
        <v>820.21</v>
      </c>
      <c r="F8" s="251">
        <f>ROUND($E$8*$C$8*0.728,2)</f>
        <v>686.68</v>
      </c>
      <c r="G8" s="252">
        <f>ROUND($E$8*$C$8*0.736,2)</f>
        <v>694.23</v>
      </c>
      <c r="H8" s="252">
        <f>ROUND($E$8*$C$8*0.764,2)</f>
        <v>720.64</v>
      </c>
      <c r="I8" s="252">
        <f>ROUND($E$8*$C$8*0.725,2)</f>
        <v>683.85</v>
      </c>
      <c r="J8" s="252">
        <f>ROUND($E$8*$C$8*0.87,2)</f>
        <v>820.62</v>
      </c>
    </row>
    <row r="9" spans="1:11">
      <c r="A9" s="249" t="s">
        <v>230</v>
      </c>
      <c r="B9" s="202"/>
      <c r="C9" s="202"/>
      <c r="D9" s="202"/>
      <c r="E9" s="210"/>
      <c r="F9" s="255"/>
      <c r="G9" s="255"/>
      <c r="H9" s="255"/>
      <c r="I9" s="255"/>
      <c r="J9" s="255">
        <v>426</v>
      </c>
      <c r="K9" s="256"/>
    </row>
    <row r="10" spans="1:11">
      <c r="A10" s="363" t="s">
        <v>12</v>
      </c>
      <c r="B10" s="364"/>
      <c r="C10" s="364"/>
      <c r="D10" s="364"/>
      <c r="E10" s="364"/>
      <c r="F10" s="257"/>
      <c r="G10" s="257"/>
      <c r="H10" s="257"/>
      <c r="I10" s="257"/>
      <c r="J10" s="257">
        <f>ROUNDDOWN(SUM(J6:J9),2)</f>
        <v>2261.04</v>
      </c>
    </row>
    <row r="11" spans="1:11">
      <c r="A11" s="210"/>
      <c r="B11" s="210"/>
      <c r="C11" s="210"/>
      <c r="D11" s="210"/>
      <c r="E11" s="210"/>
      <c r="F11" s="258"/>
      <c r="G11" s="258"/>
      <c r="H11" s="258"/>
      <c r="I11" s="258"/>
      <c r="J11" s="258"/>
    </row>
    <row r="12" spans="1:11">
      <c r="A12" s="210"/>
      <c r="B12" s="210"/>
      <c r="C12" s="210"/>
      <c r="D12" s="210"/>
      <c r="E12" s="210"/>
      <c r="F12" s="258"/>
      <c r="G12" s="258"/>
      <c r="H12" s="258"/>
      <c r="I12" s="258"/>
      <c r="J12" s="258"/>
    </row>
    <row r="13" spans="1:11">
      <c r="A13" s="210"/>
      <c r="B13" s="210"/>
      <c r="C13" s="210"/>
      <c r="D13" s="210"/>
      <c r="E13" s="210"/>
      <c r="F13" s="258"/>
      <c r="G13" s="258"/>
      <c r="H13" s="258"/>
      <c r="I13" s="258"/>
      <c r="J13" s="258"/>
    </row>
    <row r="14" spans="1:11">
      <c r="A14" s="65" t="s">
        <v>229</v>
      </c>
      <c r="B14" s="202"/>
      <c r="C14" s="202"/>
      <c r="D14" s="202"/>
      <c r="E14" s="202"/>
      <c r="F14" s="202"/>
      <c r="G14" s="202"/>
      <c r="H14" s="202"/>
      <c r="I14" s="202"/>
      <c r="J14" s="202"/>
    </row>
    <row r="15" spans="1:11">
      <c r="A15" s="365" t="s">
        <v>136</v>
      </c>
      <c r="B15" s="366"/>
      <c r="C15" s="366"/>
      <c r="D15" s="366"/>
      <c r="E15" s="366"/>
      <c r="F15" s="365" t="s">
        <v>151</v>
      </c>
      <c r="G15" s="361" t="s">
        <v>152</v>
      </c>
      <c r="H15" s="361" t="s">
        <v>153</v>
      </c>
      <c r="I15" s="361" t="s">
        <v>154</v>
      </c>
      <c r="J15" s="361" t="s">
        <v>155</v>
      </c>
    </row>
    <row r="16" spans="1:11">
      <c r="A16" s="367"/>
      <c r="B16" s="368"/>
      <c r="C16" s="368"/>
      <c r="D16" s="368"/>
      <c r="E16" s="368"/>
      <c r="F16" s="367"/>
      <c r="G16" s="362"/>
      <c r="H16" s="362"/>
      <c r="I16" s="362"/>
      <c r="J16" s="362"/>
    </row>
    <row r="17" spans="1:10">
      <c r="A17" s="249" t="s">
        <v>156</v>
      </c>
      <c r="B17" s="202"/>
      <c r="C17" s="210"/>
      <c r="D17" s="210"/>
      <c r="F17" s="282"/>
      <c r="G17" s="283"/>
      <c r="H17" s="283">
        <f>'1.ค่าวัสดุและดำเนินการ'!F12</f>
        <v>2102.8000000000002</v>
      </c>
      <c r="I17" s="283"/>
      <c r="J17" s="283"/>
    </row>
    <row r="18" spans="1:10">
      <c r="A18" s="259" t="s">
        <v>157</v>
      </c>
      <c r="B18" s="260"/>
      <c r="C18" s="260"/>
      <c r="D18" s="260"/>
      <c r="E18" s="261"/>
      <c r="F18" s="262"/>
      <c r="G18" s="262"/>
      <c r="H18" s="255">
        <v>327</v>
      </c>
      <c r="I18" s="255"/>
      <c r="J18" s="255"/>
    </row>
    <row r="19" spans="1:10">
      <c r="A19" s="363" t="s">
        <v>12</v>
      </c>
      <c r="B19" s="364"/>
      <c r="C19" s="364"/>
      <c r="D19" s="364"/>
      <c r="E19" s="364"/>
      <c r="F19" s="251">
        <f>ROUND(SUM(F17:F18),2)</f>
        <v>0</v>
      </c>
      <c r="G19" s="251">
        <f>ROUND(SUM(G17:G18),2)</f>
        <v>0</v>
      </c>
      <c r="H19" s="251">
        <f>ROUND(SUM(H17:H18),2)</f>
        <v>2429.8000000000002</v>
      </c>
      <c r="I19" s="251">
        <f>ROUND(SUM(I17:I18),2)</f>
        <v>0</v>
      </c>
      <c r="J19" s="257">
        <f>ROUND(SUM(J17:J18),2)</f>
        <v>0</v>
      </c>
    </row>
  </sheetData>
  <mergeCells count="15">
    <mergeCell ref="J3:J4"/>
    <mergeCell ref="A3:E4"/>
    <mergeCell ref="F3:F4"/>
    <mergeCell ref="G3:G4"/>
    <mergeCell ref="H3:H4"/>
    <mergeCell ref="I3:I4"/>
    <mergeCell ref="I15:I16"/>
    <mergeCell ref="J15:J16"/>
    <mergeCell ref="A19:E19"/>
    <mergeCell ref="A5:E5"/>
    <mergeCell ref="A10:E10"/>
    <mergeCell ref="A15:E16"/>
    <mergeCell ref="F15:F16"/>
    <mergeCell ref="G15:G16"/>
    <mergeCell ref="H15:H16"/>
  </mergeCells>
  <printOptions horizontalCentered="1"/>
  <pageMargins left="0.59055118110236227" right="0.19685039370078741" top="0.39370078740157483" bottom="0" header="0.31496062992125984" footer="0.31496062992125984"/>
  <pageSetup paperSize="9" scale="8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24"/>
  <sheetViews>
    <sheetView view="pageBreakPreview" zoomScaleSheetLayoutView="100" workbookViewId="0">
      <selection activeCell="C6" sqref="C6"/>
    </sheetView>
  </sheetViews>
  <sheetFormatPr defaultColWidth="9" defaultRowHeight="15.6"/>
  <cols>
    <col min="1" max="1" width="1.88671875" style="208" customWidth="1"/>
    <col min="2" max="2" width="29.33203125" style="208" customWidth="1"/>
    <col min="3" max="3" width="5.77734375" style="208" customWidth="1"/>
    <col min="4" max="4" width="2.6640625" style="208" customWidth="1"/>
    <col min="5" max="5" width="4.44140625" style="208" customWidth="1"/>
    <col min="6" max="6" width="4.33203125" style="208" customWidth="1"/>
    <col min="7" max="7" width="9" style="208"/>
    <col min="8" max="8" width="5.77734375" style="208" customWidth="1"/>
    <col min="9" max="9" width="5.109375" style="208" customWidth="1"/>
    <col min="10" max="10" width="4.88671875" style="208" customWidth="1"/>
    <col min="11" max="13" width="0.88671875" style="208" customWidth="1"/>
    <col min="14" max="14" width="1.88671875" style="208" customWidth="1"/>
    <col min="15" max="15" width="3.77734375" style="208" customWidth="1"/>
    <col min="16" max="16" width="10.44140625" style="208" customWidth="1"/>
    <col min="17" max="16384" width="9" style="208"/>
  </cols>
  <sheetData>
    <row r="1" spans="1:17" ht="23.4">
      <c r="A1" s="202"/>
      <c r="B1" s="203" t="s">
        <v>306</v>
      </c>
      <c r="C1" s="202"/>
      <c r="D1" s="202"/>
      <c r="E1" s="202"/>
      <c r="F1" s="202"/>
      <c r="G1" s="202"/>
      <c r="H1" s="204"/>
      <c r="I1" s="203"/>
      <c r="J1" s="202"/>
      <c r="K1" s="202"/>
      <c r="L1" s="205"/>
      <c r="M1" s="206"/>
      <c r="N1" s="207"/>
      <c r="O1" s="202"/>
      <c r="P1" s="202"/>
      <c r="Q1" s="202"/>
    </row>
    <row r="2" spans="1:17" ht="23.4">
      <c r="A2" s="202"/>
      <c r="B2" s="202" t="s">
        <v>305</v>
      </c>
      <c r="C2" s="209">
        <v>1</v>
      </c>
      <c r="D2" s="202" t="s">
        <v>282</v>
      </c>
      <c r="E2" s="202"/>
      <c r="F2" s="202"/>
      <c r="G2" s="202"/>
      <c r="H2" s="204"/>
      <c r="I2" s="203"/>
      <c r="J2" s="202"/>
      <c r="K2" s="202"/>
      <c r="L2" s="205"/>
      <c r="M2" s="206"/>
      <c r="N2" s="207"/>
      <c r="O2" s="202"/>
      <c r="P2" s="202"/>
      <c r="Q2" s="202"/>
    </row>
    <row r="3" spans="1:17" ht="23.4">
      <c r="A3" s="202"/>
      <c r="B3" s="202" t="s">
        <v>281</v>
      </c>
      <c r="C3" s="202"/>
      <c r="D3" s="210" t="s">
        <v>129</v>
      </c>
      <c r="E3" s="294">
        <v>0.3</v>
      </c>
      <c r="F3" s="294"/>
      <c r="G3" s="210" t="s">
        <v>207</v>
      </c>
      <c r="H3" s="369">
        <f>ROUNDDOWN('1.ค่าวัสดุและดำเนินการ'!K12,2)</f>
        <v>2102.8000000000002</v>
      </c>
      <c r="I3" s="369"/>
      <c r="J3" s="202" t="s">
        <v>17</v>
      </c>
      <c r="K3" s="202"/>
      <c r="L3" s="205"/>
      <c r="M3" s="206"/>
      <c r="N3" s="207"/>
      <c r="O3" s="210" t="s">
        <v>75</v>
      </c>
      <c r="P3" s="211">
        <f t="shared" ref="P3:P11" si="0">ROUND(E3*H3,2)</f>
        <v>630.84</v>
      </c>
      <c r="Q3" s="210" t="s">
        <v>17</v>
      </c>
    </row>
    <row r="4" spans="1:17" ht="23.4">
      <c r="A4" s="202"/>
      <c r="B4" s="202" t="s">
        <v>209</v>
      </c>
      <c r="C4" s="202"/>
      <c r="D4" s="210" t="s">
        <v>129</v>
      </c>
      <c r="E4" s="294">
        <v>26</v>
      </c>
      <c r="F4" s="294"/>
      <c r="G4" s="210" t="s">
        <v>208</v>
      </c>
      <c r="H4" s="369">
        <f>ROUNDDOWN('1.ค่าวัสดุและดำเนินการ'!K14/1000,2)</f>
        <v>29.02</v>
      </c>
      <c r="I4" s="369"/>
      <c r="J4" s="202" t="s">
        <v>17</v>
      </c>
      <c r="K4" s="202"/>
      <c r="L4" s="202"/>
      <c r="M4" s="202"/>
      <c r="N4" s="202"/>
      <c r="O4" s="210" t="s">
        <v>75</v>
      </c>
      <c r="P4" s="211">
        <f t="shared" si="0"/>
        <v>754.52</v>
      </c>
      <c r="Q4" s="210" t="s">
        <v>17</v>
      </c>
    </row>
    <row r="5" spans="1:17" ht="23.4">
      <c r="A5" s="202"/>
      <c r="B5" s="202" t="s">
        <v>210</v>
      </c>
      <c r="C5" s="202"/>
      <c r="D5" s="210" t="s">
        <v>129</v>
      </c>
      <c r="E5" s="369">
        <f>ROUNDDOWN((E4/1000)*25,2)</f>
        <v>0.65</v>
      </c>
      <c r="F5" s="369"/>
      <c r="G5" s="210" t="s">
        <v>208</v>
      </c>
      <c r="H5" s="369">
        <f>ROUNDDOWN('1.ค่าวัสดุและดำเนินการ'!K18,2)</f>
        <v>46.1</v>
      </c>
      <c r="I5" s="369"/>
      <c r="J5" s="202" t="s">
        <v>17</v>
      </c>
      <c r="K5" s="202"/>
      <c r="L5" s="202"/>
      <c r="M5" s="202"/>
      <c r="N5" s="202"/>
      <c r="O5" s="210" t="s">
        <v>75</v>
      </c>
      <c r="P5" s="211">
        <f t="shared" si="0"/>
        <v>29.97</v>
      </c>
      <c r="Q5" s="210" t="s">
        <v>17</v>
      </c>
    </row>
    <row r="6" spans="1:17" ht="23.4">
      <c r="A6" s="202"/>
      <c r="B6" s="202" t="s">
        <v>211</v>
      </c>
      <c r="C6" s="202"/>
      <c r="D6" s="210" t="s">
        <v>129</v>
      </c>
      <c r="E6" s="294">
        <v>3.3</v>
      </c>
      <c r="F6" s="294"/>
      <c r="G6" s="210" t="s">
        <v>212</v>
      </c>
      <c r="H6" s="321">
        <f>ROUNDDOWN(แบบหล่อคอนกรีต!G11,2)</f>
        <v>484</v>
      </c>
      <c r="I6" s="321"/>
      <c r="J6" s="202" t="s">
        <v>17</v>
      </c>
      <c r="K6" s="202"/>
      <c r="L6" s="202"/>
      <c r="M6" s="202"/>
      <c r="N6" s="202"/>
      <c r="O6" s="210" t="s">
        <v>75</v>
      </c>
      <c r="P6" s="211">
        <f t="shared" si="0"/>
        <v>1597.2</v>
      </c>
      <c r="Q6" s="210" t="s">
        <v>17</v>
      </c>
    </row>
    <row r="7" spans="1:17" ht="23.4">
      <c r="A7" s="202"/>
      <c r="B7" s="202" t="s">
        <v>287</v>
      </c>
      <c r="C7" s="202"/>
      <c r="D7" s="210" t="s">
        <v>129</v>
      </c>
      <c r="E7" s="294">
        <v>8.8000000000000007</v>
      </c>
      <c r="F7" s="294"/>
      <c r="G7" s="210" t="s">
        <v>290</v>
      </c>
      <c r="H7" s="321">
        <f>ROUNDDOWN('1.ค่าวัสดุและดำเนินการ'!K30/18.36,2)</f>
        <v>26.51</v>
      </c>
      <c r="I7" s="321"/>
      <c r="J7" s="202" t="s">
        <v>17</v>
      </c>
      <c r="K7" s="202"/>
      <c r="L7" s="202"/>
      <c r="M7" s="202"/>
      <c r="N7" s="202"/>
      <c r="O7" s="210" t="s">
        <v>75</v>
      </c>
      <c r="P7" s="211">
        <f t="shared" ref="P7" si="1">ROUND(E7*H7,2)</f>
        <v>233.29</v>
      </c>
      <c r="Q7" s="210" t="s">
        <v>17</v>
      </c>
    </row>
    <row r="8" spans="1:17" ht="23.4">
      <c r="A8" s="202"/>
      <c r="B8" s="202" t="s">
        <v>288</v>
      </c>
      <c r="C8" s="202"/>
      <c r="D8" s="210" t="s">
        <v>129</v>
      </c>
      <c r="E8" s="369">
        <f>E7</f>
        <v>8.8000000000000007</v>
      </c>
      <c r="F8" s="369"/>
      <c r="G8" s="210" t="s">
        <v>290</v>
      </c>
      <c r="H8" s="370">
        <v>10</v>
      </c>
      <c r="I8" s="370"/>
      <c r="J8" s="202" t="s">
        <v>17</v>
      </c>
      <c r="K8" s="202"/>
      <c r="L8" s="202"/>
      <c r="M8" s="202"/>
      <c r="N8" s="202"/>
      <c r="O8" s="210" t="s">
        <v>75</v>
      </c>
      <c r="P8" s="211">
        <f t="shared" ref="P8" si="2">ROUND(E8*H8,2)</f>
        <v>88</v>
      </c>
      <c r="Q8" s="210" t="s">
        <v>17</v>
      </c>
    </row>
    <row r="9" spans="1:17" ht="23.4">
      <c r="A9" s="202"/>
      <c r="B9" s="202" t="s">
        <v>291</v>
      </c>
      <c r="C9" s="202"/>
      <c r="D9" s="210" t="s">
        <v>129</v>
      </c>
      <c r="E9" s="294">
        <v>0.8</v>
      </c>
      <c r="F9" s="294"/>
      <c r="G9" s="210" t="s">
        <v>214</v>
      </c>
      <c r="H9" s="294">
        <v>19.96</v>
      </c>
      <c r="I9" s="294"/>
      <c r="J9" s="202" t="s">
        <v>17</v>
      </c>
      <c r="K9" s="202"/>
      <c r="L9" s="202"/>
      <c r="M9" s="202"/>
      <c r="N9" s="202"/>
      <c r="O9" s="210" t="s">
        <v>75</v>
      </c>
      <c r="P9" s="211">
        <f>ROUND(E9*H9,2)</f>
        <v>15.97</v>
      </c>
      <c r="Q9" s="210" t="s">
        <v>17</v>
      </c>
    </row>
    <row r="10" spans="1:17" ht="23.4">
      <c r="A10" s="202"/>
      <c r="B10" s="202" t="s">
        <v>92</v>
      </c>
      <c r="C10" s="202"/>
      <c r="D10" s="210" t="s">
        <v>129</v>
      </c>
      <c r="E10" s="371">
        <v>3.5000000000000003E-2</v>
      </c>
      <c r="F10" s="371"/>
      <c r="G10" s="210" t="s">
        <v>214</v>
      </c>
      <c r="H10" s="321">
        <f>ROUNDDOWN(คอนกรีต!J10,2)</f>
        <v>2261.04</v>
      </c>
      <c r="I10" s="321"/>
      <c r="J10" s="202" t="s">
        <v>17</v>
      </c>
      <c r="K10" s="202"/>
      <c r="L10" s="202"/>
      <c r="M10" s="202"/>
      <c r="N10" s="202"/>
      <c r="O10" s="210" t="s">
        <v>75</v>
      </c>
      <c r="P10" s="211">
        <f t="shared" si="0"/>
        <v>79.14</v>
      </c>
      <c r="Q10" s="210" t="s">
        <v>17</v>
      </c>
    </row>
    <row r="11" spans="1:17" ht="23.4">
      <c r="A11" s="202"/>
      <c r="B11" s="202" t="s">
        <v>302</v>
      </c>
      <c r="C11" s="202"/>
      <c r="D11" s="210" t="s">
        <v>129</v>
      </c>
      <c r="E11" s="371">
        <v>3.5000000000000003E-2</v>
      </c>
      <c r="F11" s="371"/>
      <c r="G11" s="210" t="s">
        <v>214</v>
      </c>
      <c r="H11" s="321">
        <f>ROUNDDOWN('1.ค่าวัสดุและดำเนินการ'!K20,2)</f>
        <v>621.47</v>
      </c>
      <c r="I11" s="321"/>
      <c r="J11" s="202" t="s">
        <v>17</v>
      </c>
      <c r="K11" s="202"/>
      <c r="L11" s="202"/>
      <c r="M11" s="202"/>
      <c r="N11" s="202"/>
      <c r="O11" s="210" t="s">
        <v>75</v>
      </c>
      <c r="P11" s="211">
        <f t="shared" si="0"/>
        <v>21.75</v>
      </c>
      <c r="Q11" s="210" t="s">
        <v>17</v>
      </c>
    </row>
    <row r="12" spans="1:17" ht="23.4">
      <c r="A12" s="202"/>
      <c r="B12" s="202" t="s">
        <v>297</v>
      </c>
      <c r="C12" s="202"/>
      <c r="D12" s="210" t="s">
        <v>129</v>
      </c>
      <c r="E12" s="294">
        <v>0.56000000000000005</v>
      </c>
      <c r="F12" s="294"/>
      <c r="G12" s="210" t="s">
        <v>212</v>
      </c>
      <c r="H12" s="321">
        <f>ROUNDDOWN(สี!F7,2)</f>
        <v>72</v>
      </c>
      <c r="I12" s="321"/>
      <c r="J12" s="202" t="s">
        <v>17</v>
      </c>
      <c r="K12" s="202"/>
      <c r="L12" s="202"/>
      <c r="M12" s="202"/>
      <c r="N12" s="202"/>
      <c r="O12" s="210" t="s">
        <v>75</v>
      </c>
      <c r="P12" s="211">
        <f t="shared" ref="P12" si="3">ROUND(E12*H12,2)</f>
        <v>40.32</v>
      </c>
      <c r="Q12" s="210" t="s">
        <v>17</v>
      </c>
    </row>
    <row r="13" spans="1:17" ht="23.4">
      <c r="A13" s="202"/>
      <c r="B13" s="212" t="s">
        <v>80</v>
      </c>
      <c r="C13" s="202"/>
      <c r="D13" s="202"/>
      <c r="E13" s="213"/>
      <c r="F13" s="202"/>
      <c r="G13" s="202"/>
      <c r="H13" s="202"/>
      <c r="I13" s="202"/>
      <c r="J13" s="202"/>
      <c r="K13" s="202"/>
      <c r="L13" s="202"/>
      <c r="M13" s="202"/>
      <c r="N13" s="202"/>
      <c r="O13" s="210" t="s">
        <v>75</v>
      </c>
      <c r="P13" s="214">
        <f>ROUND((SUM(P3:P12)),2)</f>
        <v>3491</v>
      </c>
      <c r="Q13" s="210" t="s">
        <v>17</v>
      </c>
    </row>
    <row r="14" spans="1:17" ht="24" thickBot="1">
      <c r="A14" s="202"/>
      <c r="N14" s="215" t="s">
        <v>168</v>
      </c>
      <c r="O14" s="210" t="s">
        <v>75</v>
      </c>
      <c r="P14" s="216">
        <f>ROUNDDOWN(P13,0)</f>
        <v>3491</v>
      </c>
      <c r="Q14" s="210" t="s">
        <v>17</v>
      </c>
    </row>
    <row r="15" spans="1:17" ht="24" thickTop="1">
      <c r="A15" s="202"/>
      <c r="N15" s="215"/>
      <c r="O15" s="210"/>
      <c r="P15" s="217"/>
      <c r="Q15" s="210"/>
    </row>
    <row r="16" spans="1:17" ht="23.4">
      <c r="A16" s="202"/>
      <c r="B16" s="202" t="s">
        <v>300</v>
      </c>
      <c r="C16" s="209">
        <v>1</v>
      </c>
      <c r="D16" s="202" t="s">
        <v>216</v>
      </c>
      <c r="E16" s="202"/>
      <c r="F16" s="202"/>
      <c r="G16" s="202"/>
      <c r="H16" s="204"/>
      <c r="I16" s="203"/>
      <c r="J16" s="202"/>
      <c r="K16" s="202"/>
      <c r="L16" s="205"/>
      <c r="M16" s="206"/>
      <c r="N16" s="207"/>
      <c r="O16" s="202"/>
      <c r="P16" s="202"/>
      <c r="Q16" s="202"/>
    </row>
    <row r="17" spans="1:17" ht="23.4">
      <c r="A17" s="202"/>
      <c r="B17" s="202" t="s">
        <v>301</v>
      </c>
      <c r="C17" s="202"/>
      <c r="D17" s="210" t="s">
        <v>129</v>
      </c>
      <c r="E17" s="294">
        <v>50</v>
      </c>
      <c r="F17" s="294"/>
      <c r="G17" s="210" t="s">
        <v>208</v>
      </c>
      <c r="H17" s="369">
        <f>ROUNDDOWN('1.ค่าวัสดุและดำเนินการ'!K31/14.13,2)</f>
        <v>0</v>
      </c>
      <c r="I17" s="369"/>
      <c r="J17" s="202" t="s">
        <v>17</v>
      </c>
      <c r="K17" s="202"/>
      <c r="L17" s="205"/>
      <c r="M17" s="206"/>
      <c r="N17" s="207"/>
      <c r="O17" s="210" t="s">
        <v>75</v>
      </c>
      <c r="P17" s="211">
        <f t="shared" ref="P17:P19" si="4">ROUND(E17*H17,2)</f>
        <v>0</v>
      </c>
      <c r="Q17" s="210" t="s">
        <v>17</v>
      </c>
    </row>
    <row r="18" spans="1:17" ht="23.4">
      <c r="A18" s="202"/>
      <c r="B18" s="202" t="s">
        <v>288</v>
      </c>
      <c r="C18" s="202"/>
      <c r="D18" s="210" t="s">
        <v>129</v>
      </c>
      <c r="E18" s="372">
        <f>E17</f>
        <v>50</v>
      </c>
      <c r="F18" s="372"/>
      <c r="G18" s="210" t="s">
        <v>208</v>
      </c>
      <c r="H18" s="294">
        <v>10</v>
      </c>
      <c r="I18" s="294"/>
      <c r="J18" s="202" t="s">
        <v>17</v>
      </c>
      <c r="K18" s="202"/>
      <c r="L18" s="202"/>
      <c r="M18" s="202"/>
      <c r="N18" s="202"/>
      <c r="O18" s="210" t="s">
        <v>75</v>
      </c>
      <c r="P18" s="211">
        <f t="shared" si="4"/>
        <v>500</v>
      </c>
      <c r="Q18" s="210" t="s">
        <v>17</v>
      </c>
    </row>
    <row r="19" spans="1:17" ht="23.4">
      <c r="A19" s="202"/>
      <c r="B19" s="202" t="s">
        <v>297</v>
      </c>
      <c r="C19" s="202"/>
      <c r="D19" s="210" t="s">
        <v>129</v>
      </c>
      <c r="E19" s="294">
        <v>2.1</v>
      </c>
      <c r="F19" s="294"/>
      <c r="G19" s="210" t="s">
        <v>212</v>
      </c>
      <c r="H19" s="321">
        <f>ROUNDDOWN(สี!F7,2)</f>
        <v>72</v>
      </c>
      <c r="I19" s="321"/>
      <c r="J19" s="202" t="s">
        <v>17</v>
      </c>
      <c r="K19" s="202"/>
      <c r="L19" s="202"/>
      <c r="M19" s="202"/>
      <c r="N19" s="202"/>
      <c r="O19" s="210" t="s">
        <v>75</v>
      </c>
      <c r="P19" s="211">
        <f t="shared" si="4"/>
        <v>151.19999999999999</v>
      </c>
      <c r="Q19" s="210" t="s">
        <v>17</v>
      </c>
    </row>
    <row r="20" spans="1:17" ht="23.4">
      <c r="A20" s="202"/>
      <c r="B20" s="212" t="s">
        <v>80</v>
      </c>
      <c r="C20" s="202"/>
      <c r="D20" s="202"/>
      <c r="E20" s="213"/>
      <c r="F20" s="202"/>
      <c r="G20" s="202"/>
      <c r="H20" s="202"/>
      <c r="I20" s="202"/>
      <c r="J20" s="202"/>
      <c r="K20" s="202"/>
      <c r="L20" s="202"/>
      <c r="M20" s="202"/>
      <c r="N20" s="202"/>
      <c r="O20" s="210" t="s">
        <v>75</v>
      </c>
      <c r="P20" s="214">
        <f>ROUND((SUM(P17:P19)),2)</f>
        <v>651.20000000000005</v>
      </c>
      <c r="Q20" s="210" t="s">
        <v>17</v>
      </c>
    </row>
    <row r="21" spans="1:17" ht="24" thickBot="1">
      <c r="A21" s="202"/>
      <c r="N21" s="215" t="s">
        <v>168</v>
      </c>
      <c r="O21" s="210" t="s">
        <v>75</v>
      </c>
      <c r="P21" s="216">
        <f>ROUNDDOWN(P20,0)</f>
        <v>651</v>
      </c>
      <c r="Q21" s="210" t="s">
        <v>17</v>
      </c>
    </row>
    <row r="22" spans="1:17" ht="16.2" thickTop="1"/>
    <row r="23" spans="1:17" ht="24" thickBot="1">
      <c r="N23" s="215" t="s">
        <v>303</v>
      </c>
      <c r="O23" s="210" t="s">
        <v>75</v>
      </c>
      <c r="P23" s="216">
        <f>ROUNDDOWN(P14+P21,0)</f>
        <v>4142</v>
      </c>
      <c r="Q23" s="210" t="s">
        <v>17</v>
      </c>
    </row>
    <row r="24" spans="1:17" ht="16.2" thickTop="1"/>
  </sheetData>
  <mergeCells count="26">
    <mergeCell ref="E19:F19"/>
    <mergeCell ref="H19:I19"/>
    <mergeCell ref="E12:F12"/>
    <mergeCell ref="H12:I12"/>
    <mergeCell ref="E8:F8"/>
    <mergeCell ref="H8:I8"/>
    <mergeCell ref="E11:F11"/>
    <mergeCell ref="H11:I11"/>
    <mergeCell ref="E18:F18"/>
    <mergeCell ref="H18:I18"/>
    <mergeCell ref="E10:F10"/>
    <mergeCell ref="H10:I10"/>
    <mergeCell ref="E17:F17"/>
    <mergeCell ref="H17:I17"/>
    <mergeCell ref="E3:F3"/>
    <mergeCell ref="H3:I3"/>
    <mergeCell ref="E4:F4"/>
    <mergeCell ref="H4:I4"/>
    <mergeCell ref="E5:F5"/>
    <mergeCell ref="H5:I5"/>
    <mergeCell ref="E6:F6"/>
    <mergeCell ref="H6:I6"/>
    <mergeCell ref="E9:F9"/>
    <mergeCell ref="H9:I9"/>
    <mergeCell ref="E7:F7"/>
    <mergeCell ref="H7:I7"/>
  </mergeCells>
  <printOptions horizontalCentered="1"/>
  <pageMargins left="0.59055118110236227" right="0.19685039370078741" top="0.39370078740157483" bottom="0" header="0.31496062992125984" footer="0.31496062992125984"/>
  <pageSetup paperSize="9" scale="88" orientation="portrait" r:id="rId1"/>
  <colBreaks count="1" manualBreakCount="1">
    <brk id="17" max="1048575" man="1"/>
  </colBreaks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27"/>
  <sheetViews>
    <sheetView view="pageBreakPreview" zoomScaleNormal="100" zoomScaleSheetLayoutView="100" workbookViewId="0">
      <selection activeCell="C16" sqref="C16"/>
    </sheetView>
  </sheetViews>
  <sheetFormatPr defaultColWidth="9" defaultRowHeight="15.6"/>
  <cols>
    <col min="1" max="1" width="1.88671875" style="208" customWidth="1"/>
    <col min="2" max="2" width="29.33203125" style="208" customWidth="1"/>
    <col min="3" max="3" width="9.88671875" style="208" customWidth="1"/>
    <col min="4" max="4" width="2.6640625" style="208" customWidth="1"/>
    <col min="5" max="5" width="4.44140625" style="208" customWidth="1"/>
    <col min="6" max="6" width="4.33203125" style="208" customWidth="1"/>
    <col min="7" max="7" width="9" style="208"/>
    <col min="8" max="8" width="5.77734375" style="208" customWidth="1"/>
    <col min="9" max="9" width="5.109375" style="208" customWidth="1"/>
    <col min="10" max="10" width="4.88671875" style="208" customWidth="1"/>
    <col min="11" max="13" width="0.88671875" style="208" customWidth="1"/>
    <col min="14" max="14" width="1.88671875" style="208" customWidth="1"/>
    <col min="15" max="15" width="3.77734375" style="208" customWidth="1"/>
    <col min="16" max="16" width="10.44140625" style="208" customWidth="1"/>
    <col min="17" max="16384" width="9" style="208"/>
  </cols>
  <sheetData>
    <row r="1" spans="1:17" ht="23.4">
      <c r="A1" s="202"/>
      <c r="B1" s="203" t="s">
        <v>364</v>
      </c>
      <c r="C1" s="202"/>
      <c r="D1" s="202"/>
      <c r="E1" s="202"/>
      <c r="F1" s="202"/>
      <c r="G1" s="202"/>
      <c r="H1" s="204"/>
      <c r="I1" s="203"/>
      <c r="J1" s="202"/>
      <c r="K1" s="202"/>
      <c r="L1" s="205"/>
      <c r="M1" s="206"/>
      <c r="N1" s="207"/>
      <c r="O1" s="202"/>
      <c r="P1" s="202"/>
      <c r="Q1" s="202"/>
    </row>
    <row r="2" spans="1:17" ht="23.4">
      <c r="A2" s="202"/>
      <c r="B2" s="202" t="s">
        <v>305</v>
      </c>
      <c r="C2" s="209">
        <v>1</v>
      </c>
      <c r="D2" s="202" t="s">
        <v>282</v>
      </c>
      <c r="E2" s="202"/>
      <c r="F2" s="202"/>
      <c r="G2" s="202"/>
      <c r="H2" s="204"/>
      <c r="I2" s="203"/>
      <c r="J2" s="202"/>
      <c r="K2" s="202"/>
      <c r="L2" s="205"/>
      <c r="M2" s="206"/>
      <c r="N2" s="207"/>
      <c r="O2" s="202"/>
      <c r="P2" s="202"/>
      <c r="Q2" s="202"/>
    </row>
    <row r="3" spans="1:17" ht="23.4">
      <c r="A3" s="202"/>
      <c r="B3" s="202" t="s">
        <v>359</v>
      </c>
      <c r="C3" s="202"/>
      <c r="D3" s="210" t="s">
        <v>129</v>
      </c>
      <c r="E3" s="294">
        <v>0.18</v>
      </c>
      <c r="F3" s="294"/>
      <c r="G3" s="210" t="s">
        <v>207</v>
      </c>
      <c r="H3" s="369">
        <f>ROUND('1.ค่าวัสดุและดำเนินการ'!K12,2)</f>
        <v>2102.8000000000002</v>
      </c>
      <c r="I3" s="369"/>
      <c r="J3" s="202" t="s">
        <v>17</v>
      </c>
      <c r="K3" s="202"/>
      <c r="L3" s="205"/>
      <c r="M3" s="206"/>
      <c r="N3" s="207"/>
      <c r="O3" s="210" t="s">
        <v>75</v>
      </c>
      <c r="P3" s="211">
        <f>ROUND(E3*H3,2)</f>
        <v>378.5</v>
      </c>
      <c r="Q3" s="210" t="s">
        <v>17</v>
      </c>
    </row>
    <row r="4" spans="1:17" ht="23.4">
      <c r="A4" s="202"/>
      <c r="B4" s="202" t="s">
        <v>209</v>
      </c>
      <c r="C4" s="202"/>
      <c r="D4" s="210" t="s">
        <v>129</v>
      </c>
      <c r="E4" s="370">
        <v>43.56</v>
      </c>
      <c r="F4" s="370"/>
      <c r="G4" s="210" t="s">
        <v>208</v>
      </c>
      <c r="H4" s="321">
        <f>ROUND('1.ค่าวัสดุและดำเนินการ'!K14/1000,2)</f>
        <v>29.02</v>
      </c>
      <c r="I4" s="321"/>
      <c r="J4" s="202" t="s">
        <v>17</v>
      </c>
      <c r="K4" s="202"/>
      <c r="L4" s="202"/>
      <c r="M4" s="202"/>
      <c r="N4" s="202"/>
      <c r="O4" s="210" t="s">
        <v>75</v>
      </c>
      <c r="P4" s="211">
        <f t="shared" ref="P4:P12" si="0">ROUND(E4*H4,2)</f>
        <v>1264.1099999999999</v>
      </c>
      <c r="Q4" s="210" t="s">
        <v>17</v>
      </c>
    </row>
    <row r="5" spans="1:17" ht="23.4">
      <c r="A5" s="202"/>
      <c r="B5" s="202" t="s">
        <v>210</v>
      </c>
      <c r="C5" s="202"/>
      <c r="D5" s="210" t="s">
        <v>129</v>
      </c>
      <c r="E5" s="321">
        <f>ROUNDDOWN((E4/1000)*25,2)</f>
        <v>1.08</v>
      </c>
      <c r="F5" s="321"/>
      <c r="G5" s="210" t="s">
        <v>208</v>
      </c>
      <c r="H5" s="321">
        <f>ROUND('1.ค่าวัสดุและดำเนินการ'!K18,2)</f>
        <v>46.1</v>
      </c>
      <c r="I5" s="321"/>
      <c r="J5" s="202" t="s">
        <v>17</v>
      </c>
      <c r="K5" s="202"/>
      <c r="L5" s="202"/>
      <c r="M5" s="202"/>
      <c r="N5" s="202"/>
      <c r="O5" s="210" t="s">
        <v>75</v>
      </c>
      <c r="P5" s="211">
        <f t="shared" si="0"/>
        <v>49.79</v>
      </c>
      <c r="Q5" s="210" t="s">
        <v>17</v>
      </c>
    </row>
    <row r="6" spans="1:17" ht="23.4">
      <c r="A6" s="202"/>
      <c r="B6" s="202" t="s">
        <v>211</v>
      </c>
      <c r="C6" s="202"/>
      <c r="D6" s="210" t="s">
        <v>129</v>
      </c>
      <c r="E6" s="370">
        <v>5.5</v>
      </c>
      <c r="F6" s="370"/>
      <c r="G6" s="210" t="s">
        <v>212</v>
      </c>
      <c r="H6" s="321">
        <f>ROUND(แบบหล่อคอนกรีต!G11,2)</f>
        <v>484</v>
      </c>
      <c r="I6" s="321"/>
      <c r="J6" s="202" t="s">
        <v>17</v>
      </c>
      <c r="K6" s="202"/>
      <c r="L6" s="202"/>
      <c r="M6" s="202"/>
      <c r="N6" s="202"/>
      <c r="O6" s="210" t="s">
        <v>75</v>
      </c>
      <c r="P6" s="211">
        <f t="shared" si="0"/>
        <v>2662</v>
      </c>
      <c r="Q6" s="210" t="s">
        <v>17</v>
      </c>
    </row>
    <row r="7" spans="1:17" ht="23.4">
      <c r="A7" s="202"/>
      <c r="B7" s="202" t="s">
        <v>287</v>
      </c>
      <c r="C7" s="202"/>
      <c r="D7" s="210" t="s">
        <v>129</v>
      </c>
      <c r="E7" s="370">
        <v>11</v>
      </c>
      <c r="F7" s="370"/>
      <c r="G7" s="210" t="s">
        <v>290</v>
      </c>
      <c r="H7" s="321">
        <f>ROUND('1.ค่าวัสดุและดำเนินการ'!K30/18.36,2)</f>
        <v>26.52</v>
      </c>
      <c r="I7" s="321"/>
      <c r="J7" s="202" t="s">
        <v>17</v>
      </c>
      <c r="K7" s="202"/>
      <c r="L7" s="202"/>
      <c r="M7" s="202"/>
      <c r="N7" s="202"/>
      <c r="O7" s="210" t="s">
        <v>75</v>
      </c>
      <c r="P7" s="211">
        <f t="shared" si="0"/>
        <v>291.72000000000003</v>
      </c>
      <c r="Q7" s="210" t="s">
        <v>17</v>
      </c>
    </row>
    <row r="8" spans="1:17" ht="23.4">
      <c r="A8" s="202"/>
      <c r="B8" s="202" t="s">
        <v>288</v>
      </c>
      <c r="C8" s="202"/>
      <c r="D8" s="210" t="s">
        <v>129</v>
      </c>
      <c r="E8" s="321">
        <f>E7</f>
        <v>11</v>
      </c>
      <c r="F8" s="321"/>
      <c r="G8" s="210" t="s">
        <v>290</v>
      </c>
      <c r="H8" s="370">
        <v>10</v>
      </c>
      <c r="I8" s="370"/>
      <c r="J8" s="202" t="s">
        <v>17</v>
      </c>
      <c r="K8" s="202"/>
      <c r="L8" s="202"/>
      <c r="M8" s="202"/>
      <c r="N8" s="202"/>
      <c r="O8" s="210" t="s">
        <v>75</v>
      </c>
      <c r="P8" s="211">
        <f t="shared" si="0"/>
        <v>110</v>
      </c>
      <c r="Q8" s="210" t="s">
        <v>17</v>
      </c>
    </row>
    <row r="9" spans="1:17" ht="23.4">
      <c r="A9" s="202"/>
      <c r="B9" s="202" t="s">
        <v>291</v>
      </c>
      <c r="C9" s="202"/>
      <c r="D9" s="210" t="s">
        <v>129</v>
      </c>
      <c r="E9" s="370">
        <v>1.2</v>
      </c>
      <c r="F9" s="370"/>
      <c r="G9" s="210" t="s">
        <v>214</v>
      </c>
      <c r="H9" s="370">
        <v>21.84</v>
      </c>
      <c r="I9" s="370"/>
      <c r="J9" s="202" t="s">
        <v>17</v>
      </c>
      <c r="K9" s="202"/>
      <c r="L9" s="202"/>
      <c r="M9" s="202"/>
      <c r="N9" s="202"/>
      <c r="O9" s="210" t="s">
        <v>75</v>
      </c>
      <c r="P9" s="211">
        <f>ROUND(E9*H9,2)</f>
        <v>26.21</v>
      </c>
      <c r="Q9" s="210" t="s">
        <v>17</v>
      </c>
    </row>
    <row r="10" spans="1:17" ht="23.4">
      <c r="A10" s="202"/>
      <c r="B10" s="202" t="s">
        <v>92</v>
      </c>
      <c r="C10" s="202"/>
      <c r="D10" s="210" t="s">
        <v>129</v>
      </c>
      <c r="E10" s="370">
        <v>0.05</v>
      </c>
      <c r="F10" s="370"/>
      <c r="G10" s="210" t="s">
        <v>214</v>
      </c>
      <c r="H10" s="321">
        <f>ROUND(คอนกรีต!J10,2)</f>
        <v>2261.04</v>
      </c>
      <c r="I10" s="321"/>
      <c r="J10" s="202" t="s">
        <v>17</v>
      </c>
      <c r="K10" s="202"/>
      <c r="L10" s="202"/>
      <c r="M10" s="202"/>
      <c r="N10" s="202"/>
      <c r="O10" s="210" t="s">
        <v>75</v>
      </c>
      <c r="P10" s="211">
        <f t="shared" si="0"/>
        <v>113.05</v>
      </c>
      <c r="Q10" s="210" t="s">
        <v>17</v>
      </c>
    </row>
    <row r="11" spans="1:17" ht="23.4">
      <c r="A11" s="202"/>
      <c r="B11" s="202" t="s">
        <v>302</v>
      </c>
      <c r="C11" s="202"/>
      <c r="D11" s="210" t="s">
        <v>129</v>
      </c>
      <c r="E11" s="373">
        <v>0.06</v>
      </c>
      <c r="F11" s="373"/>
      <c r="G11" s="210" t="s">
        <v>214</v>
      </c>
      <c r="H11" s="321">
        <f>ROUND('1.ค่าวัสดุและดำเนินการ'!K20,2)</f>
        <v>621.47</v>
      </c>
      <c r="I11" s="321"/>
      <c r="J11" s="202" t="s">
        <v>17</v>
      </c>
      <c r="K11" s="202"/>
      <c r="L11" s="202"/>
      <c r="M11" s="202"/>
      <c r="N11" s="202"/>
      <c r="O11" s="210" t="s">
        <v>75</v>
      </c>
      <c r="P11" s="211">
        <f t="shared" si="0"/>
        <v>37.29</v>
      </c>
      <c r="Q11" s="210" t="s">
        <v>17</v>
      </c>
    </row>
    <row r="12" spans="1:17" ht="23.4">
      <c r="A12" s="202"/>
      <c r="B12" s="202" t="s">
        <v>297</v>
      </c>
      <c r="C12" s="202"/>
      <c r="D12" s="210" t="s">
        <v>129</v>
      </c>
      <c r="E12" s="370">
        <v>0.72</v>
      </c>
      <c r="F12" s="370"/>
      <c r="G12" s="210" t="s">
        <v>212</v>
      </c>
      <c r="H12" s="321">
        <f>ROUND(สี!F7,2)</f>
        <v>72</v>
      </c>
      <c r="I12" s="321"/>
      <c r="J12" s="202" t="s">
        <v>17</v>
      </c>
      <c r="K12" s="202"/>
      <c r="L12" s="202"/>
      <c r="M12" s="202"/>
      <c r="N12" s="202"/>
      <c r="O12" s="210" t="s">
        <v>75</v>
      </c>
      <c r="P12" s="211">
        <f t="shared" si="0"/>
        <v>51.84</v>
      </c>
      <c r="Q12" s="210" t="s">
        <v>17</v>
      </c>
    </row>
    <row r="13" spans="1:17" ht="23.4">
      <c r="A13" s="202"/>
      <c r="B13" s="212" t="s">
        <v>80</v>
      </c>
      <c r="C13" s="202"/>
      <c r="D13" s="202"/>
      <c r="E13" s="213"/>
      <c r="F13" s="202"/>
      <c r="G13" s="202"/>
      <c r="H13" s="202"/>
      <c r="I13" s="202"/>
      <c r="J13" s="202"/>
      <c r="K13" s="202"/>
      <c r="L13" s="202"/>
      <c r="M13" s="202"/>
      <c r="N13" s="202"/>
      <c r="O13" s="210" t="s">
        <v>75</v>
      </c>
      <c r="P13" s="214">
        <f>ROUND((SUM(P3:P12)),2)</f>
        <v>4984.51</v>
      </c>
      <c r="Q13" s="210" t="s">
        <v>17</v>
      </c>
    </row>
    <row r="14" spans="1:17" ht="24" thickBot="1">
      <c r="A14" s="202"/>
      <c r="N14" s="215" t="s">
        <v>168</v>
      </c>
      <c r="O14" s="210" t="s">
        <v>75</v>
      </c>
      <c r="P14" s="216">
        <f>ROUNDDOWN(P13,0)</f>
        <v>4984</v>
      </c>
      <c r="Q14" s="210" t="s">
        <v>17</v>
      </c>
    </row>
    <row r="15" spans="1:17" ht="24" thickTop="1">
      <c r="A15" s="202"/>
      <c r="N15" s="215"/>
      <c r="O15" s="210"/>
      <c r="P15" s="217"/>
      <c r="Q15" s="210"/>
    </row>
    <row r="16" spans="1:17" ht="23.4">
      <c r="A16" s="202"/>
      <c r="B16" s="202" t="s">
        <v>369</v>
      </c>
      <c r="C16" s="209">
        <v>2</v>
      </c>
      <c r="D16" s="202" t="s">
        <v>216</v>
      </c>
      <c r="E16" s="202"/>
      <c r="F16" s="202"/>
      <c r="G16" s="202"/>
      <c r="H16" s="204"/>
      <c r="I16" s="203"/>
      <c r="J16" s="202"/>
      <c r="K16" s="202"/>
      <c r="L16" s="205"/>
      <c r="M16" s="206"/>
      <c r="N16" s="207"/>
      <c r="O16" s="202"/>
      <c r="P16" s="202"/>
      <c r="Q16" s="202"/>
    </row>
    <row r="17" spans="1:17" ht="23.4">
      <c r="A17" s="202"/>
      <c r="B17" s="202" t="s">
        <v>359</v>
      </c>
      <c r="C17" s="202"/>
      <c r="D17" s="210" t="s">
        <v>129</v>
      </c>
      <c r="E17" s="294">
        <v>7.0000000000000007E-2</v>
      </c>
      <c r="F17" s="294"/>
      <c r="G17" s="210" t="s">
        <v>207</v>
      </c>
      <c r="H17" s="369">
        <f>ROUND('1.ค่าวัสดุและดำเนินการ'!K12,2)</f>
        <v>2102.8000000000002</v>
      </c>
      <c r="I17" s="369"/>
      <c r="J17" s="202" t="s">
        <v>17</v>
      </c>
      <c r="K17" s="202"/>
      <c r="L17" s="205"/>
      <c r="M17" s="206"/>
      <c r="N17" s="207"/>
      <c r="O17" s="210" t="s">
        <v>75</v>
      </c>
      <c r="P17" s="211">
        <f>ROUND(E17*H17,2)</f>
        <v>147.19999999999999</v>
      </c>
      <c r="Q17" s="210" t="s">
        <v>17</v>
      </c>
    </row>
    <row r="18" spans="1:17" ht="23.4">
      <c r="A18" s="202"/>
      <c r="B18" s="202" t="s">
        <v>209</v>
      </c>
      <c r="C18" s="202"/>
      <c r="D18" s="210" t="s">
        <v>129</v>
      </c>
      <c r="E18" s="370">
        <v>5.79</v>
      </c>
      <c r="F18" s="370"/>
      <c r="G18" s="210" t="s">
        <v>208</v>
      </c>
      <c r="H18" s="321">
        <f>ROUND('1.ค่าวัสดุและดำเนินการ'!K14/1000,2)</f>
        <v>29.02</v>
      </c>
      <c r="I18" s="321"/>
      <c r="J18" s="202" t="s">
        <v>17</v>
      </c>
      <c r="K18" s="202"/>
      <c r="L18" s="202"/>
      <c r="M18" s="202"/>
      <c r="N18" s="202"/>
      <c r="O18" s="210" t="s">
        <v>75</v>
      </c>
      <c r="P18" s="211">
        <f t="shared" ref="P18:P22" si="1">ROUND(E18*H18,2)</f>
        <v>168.03</v>
      </c>
      <c r="Q18" s="210" t="s">
        <v>17</v>
      </c>
    </row>
    <row r="19" spans="1:17" ht="23.4">
      <c r="A19" s="202"/>
      <c r="B19" s="202" t="s">
        <v>210</v>
      </c>
      <c r="C19" s="202"/>
      <c r="D19" s="210" t="s">
        <v>129</v>
      </c>
      <c r="E19" s="321">
        <f>ROUND((E18/1000)*25,2)</f>
        <v>0.14000000000000001</v>
      </c>
      <c r="F19" s="321"/>
      <c r="G19" s="210" t="s">
        <v>208</v>
      </c>
      <c r="H19" s="321">
        <f>ROUND('1.ค่าวัสดุและดำเนินการ'!K18,2)</f>
        <v>46.1</v>
      </c>
      <c r="I19" s="321"/>
      <c r="J19" s="202" t="s">
        <v>17</v>
      </c>
      <c r="K19" s="202"/>
      <c r="L19" s="202"/>
      <c r="M19" s="202"/>
      <c r="N19" s="202"/>
      <c r="O19" s="210" t="s">
        <v>75</v>
      </c>
      <c r="P19" s="211">
        <f t="shared" si="1"/>
        <v>6.45</v>
      </c>
      <c r="Q19" s="210" t="s">
        <v>17</v>
      </c>
    </row>
    <row r="20" spans="1:17" ht="23.4">
      <c r="A20" s="202"/>
      <c r="B20" s="202" t="s">
        <v>363</v>
      </c>
      <c r="C20" s="202"/>
      <c r="D20" s="210" t="s">
        <v>129</v>
      </c>
      <c r="E20" s="370">
        <v>0.63</v>
      </c>
      <c r="F20" s="370"/>
      <c r="G20" s="210" t="s">
        <v>212</v>
      </c>
      <c r="H20" s="321">
        <f>ROUND(แบบหล่อคอนกรีต!G24,2)</f>
        <v>416</v>
      </c>
      <c r="I20" s="321"/>
      <c r="J20" s="202" t="s">
        <v>17</v>
      </c>
      <c r="K20" s="202"/>
      <c r="L20" s="202"/>
      <c r="M20" s="202"/>
      <c r="N20" s="202"/>
      <c r="O20" s="210" t="s">
        <v>75</v>
      </c>
      <c r="P20" s="211">
        <f t="shared" si="1"/>
        <v>262.08</v>
      </c>
      <c r="Q20" s="210" t="s">
        <v>17</v>
      </c>
    </row>
    <row r="21" spans="1:17" ht="23.4">
      <c r="A21" s="202"/>
      <c r="B21" s="202" t="s">
        <v>287</v>
      </c>
      <c r="C21" s="202"/>
      <c r="D21" s="210" t="s">
        <v>129</v>
      </c>
      <c r="E21" s="370">
        <v>12.85</v>
      </c>
      <c r="F21" s="370"/>
      <c r="G21" s="210" t="s">
        <v>290</v>
      </c>
      <c r="H21" s="321">
        <f>ROUND('1.ค่าวัสดุและดำเนินการ'!K30/18.36,2)</f>
        <v>26.52</v>
      </c>
      <c r="I21" s="321"/>
      <c r="J21" s="202" t="s">
        <v>17</v>
      </c>
      <c r="K21" s="202"/>
      <c r="L21" s="202"/>
      <c r="M21" s="202"/>
      <c r="N21" s="202"/>
      <c r="O21" s="210" t="s">
        <v>75</v>
      </c>
      <c r="P21" s="211">
        <f t="shared" si="1"/>
        <v>340.78</v>
      </c>
      <c r="Q21" s="210" t="s">
        <v>17</v>
      </c>
    </row>
    <row r="22" spans="1:17" ht="23.4">
      <c r="A22" s="202"/>
      <c r="B22" s="202" t="s">
        <v>288</v>
      </c>
      <c r="C22" s="202"/>
      <c r="D22" s="210" t="s">
        <v>129</v>
      </c>
      <c r="E22" s="321">
        <f>E21</f>
        <v>12.85</v>
      </c>
      <c r="F22" s="321"/>
      <c r="G22" s="210" t="s">
        <v>290</v>
      </c>
      <c r="H22" s="370">
        <v>10</v>
      </c>
      <c r="I22" s="370"/>
      <c r="J22" s="202" t="s">
        <v>17</v>
      </c>
      <c r="K22" s="202"/>
      <c r="L22" s="202"/>
      <c r="M22" s="202"/>
      <c r="N22" s="202"/>
      <c r="O22" s="210" t="s">
        <v>75</v>
      </c>
      <c r="P22" s="211">
        <f t="shared" si="1"/>
        <v>128.5</v>
      </c>
      <c r="Q22" s="210" t="s">
        <v>17</v>
      </c>
    </row>
    <row r="23" spans="1:17" ht="23.4">
      <c r="A23" s="202"/>
      <c r="B23" s="202" t="s">
        <v>297</v>
      </c>
      <c r="C23" s="202"/>
      <c r="D23" s="210" t="s">
        <v>129</v>
      </c>
      <c r="E23" s="370">
        <v>0.84</v>
      </c>
      <c r="F23" s="370"/>
      <c r="G23" s="210" t="s">
        <v>212</v>
      </c>
      <c r="H23" s="321">
        <f>ROUNDDOWN(สี!F7,2)</f>
        <v>72</v>
      </c>
      <c r="I23" s="321"/>
      <c r="J23" s="202" t="s">
        <v>17</v>
      </c>
      <c r="K23" s="202"/>
      <c r="L23" s="202"/>
      <c r="M23" s="202"/>
      <c r="N23" s="202"/>
      <c r="O23" s="210" t="s">
        <v>75</v>
      </c>
      <c r="P23" s="211">
        <f t="shared" ref="P23" si="2">ROUND(E23*H23,2)</f>
        <v>60.48</v>
      </c>
      <c r="Q23" s="210" t="s">
        <v>17</v>
      </c>
    </row>
    <row r="24" spans="1:17" ht="23.4">
      <c r="A24" s="202"/>
      <c r="B24" s="212" t="s">
        <v>80</v>
      </c>
      <c r="C24" s="202"/>
      <c r="D24" s="202"/>
      <c r="E24" s="213"/>
      <c r="F24" s="202"/>
      <c r="G24" s="202"/>
      <c r="H24" s="202"/>
      <c r="I24" s="202"/>
      <c r="J24" s="202"/>
      <c r="K24" s="202"/>
      <c r="L24" s="202"/>
      <c r="M24" s="202"/>
      <c r="N24" s="202"/>
      <c r="O24" s="210" t="s">
        <v>75</v>
      </c>
      <c r="P24" s="214">
        <f>ROUND((SUM(P17:P23)),2)</f>
        <v>1113.52</v>
      </c>
      <c r="Q24" s="210" t="s">
        <v>17</v>
      </c>
    </row>
    <row r="25" spans="1:17" ht="24" thickBot="1">
      <c r="N25" s="215" t="s">
        <v>168</v>
      </c>
      <c r="O25" s="210" t="s">
        <v>75</v>
      </c>
      <c r="P25" s="216">
        <f>ROUNDDOWN(P24,0)</f>
        <v>1113</v>
      </c>
      <c r="Q25" s="210" t="s">
        <v>17</v>
      </c>
    </row>
    <row r="26" spans="1:17" ht="24.6" thickTop="1" thickBot="1">
      <c r="N26" s="215" t="s">
        <v>370</v>
      </c>
      <c r="O26" s="210" t="s">
        <v>75</v>
      </c>
      <c r="P26" s="216">
        <f>ROUNDDOWN(P14+P25,0)</f>
        <v>6097</v>
      </c>
      <c r="Q26" s="210" t="s">
        <v>17</v>
      </c>
    </row>
    <row r="27" spans="1:17" ht="16.2" thickTop="1"/>
  </sheetData>
  <mergeCells count="34">
    <mergeCell ref="E19:F19"/>
    <mergeCell ref="H19:I19"/>
    <mergeCell ref="E12:F12"/>
    <mergeCell ref="H12:I12"/>
    <mergeCell ref="E17:F17"/>
    <mergeCell ref="H17:I17"/>
    <mergeCell ref="E18:F18"/>
    <mergeCell ref="H18:I18"/>
    <mergeCell ref="E9:F9"/>
    <mergeCell ref="H9:I9"/>
    <mergeCell ref="E10:F10"/>
    <mergeCell ref="H10:I10"/>
    <mergeCell ref="E11:F11"/>
    <mergeCell ref="H11:I11"/>
    <mergeCell ref="E6:F6"/>
    <mergeCell ref="H6:I6"/>
    <mergeCell ref="E7:F7"/>
    <mergeCell ref="H7:I7"/>
    <mergeCell ref="E8:F8"/>
    <mergeCell ref="H8:I8"/>
    <mergeCell ref="E3:F3"/>
    <mergeCell ref="H3:I3"/>
    <mergeCell ref="E4:F4"/>
    <mergeCell ref="H4:I4"/>
    <mergeCell ref="E5:F5"/>
    <mergeCell ref="H5:I5"/>
    <mergeCell ref="E23:F23"/>
    <mergeCell ref="H23:I23"/>
    <mergeCell ref="E20:F20"/>
    <mergeCell ref="H20:I20"/>
    <mergeCell ref="E21:F21"/>
    <mergeCell ref="H21:I21"/>
    <mergeCell ref="E22:F22"/>
    <mergeCell ref="H22:I22"/>
  </mergeCells>
  <printOptions horizontalCentered="1"/>
  <pageMargins left="0.59055118110236227" right="0.19685039370078741" top="0.39370078740157483" bottom="0.19685039370078741" header="0.31496062992125984" footer="0.31496062992125984"/>
  <pageSetup scale="90" orientation="portrait" r:id="rId1"/>
  <colBreaks count="1" manualBreakCount="1">
    <brk id="17" max="1048575" man="1"/>
  </colBreaks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7"/>
  <sheetViews>
    <sheetView view="pageBreakPreview" zoomScale="110" zoomScaleNormal="120" zoomScaleSheetLayoutView="110" workbookViewId="0">
      <selection activeCell="G11" sqref="G11"/>
    </sheetView>
  </sheetViews>
  <sheetFormatPr defaultRowHeight="16.2"/>
  <cols>
    <col min="1" max="1" width="4.88671875" style="2" customWidth="1"/>
    <col min="2" max="2" width="36.88671875" style="2" customWidth="1"/>
    <col min="3" max="3" width="7" style="2" customWidth="1"/>
    <col min="4" max="4" width="9" style="2"/>
    <col min="5" max="5" width="8.77734375" style="2" customWidth="1"/>
    <col min="6" max="6" width="9.33203125" style="2" customWidth="1"/>
    <col min="7" max="7" width="11.77734375" style="2" customWidth="1"/>
    <col min="8" max="257" width="9" style="2"/>
    <col min="258" max="258" width="21.77734375" style="2" customWidth="1"/>
    <col min="259" max="261" width="9" style="2"/>
    <col min="262" max="262" width="9.33203125" style="2" customWidth="1"/>
    <col min="263" max="513" width="9" style="2"/>
    <col min="514" max="514" width="21.77734375" style="2" customWidth="1"/>
    <col min="515" max="517" width="9" style="2"/>
    <col min="518" max="518" width="9.33203125" style="2" customWidth="1"/>
    <col min="519" max="769" width="9" style="2"/>
    <col min="770" max="770" width="21.77734375" style="2" customWidth="1"/>
    <col min="771" max="773" width="9" style="2"/>
    <col min="774" max="774" width="9.33203125" style="2" customWidth="1"/>
    <col min="775" max="1025" width="9" style="2"/>
    <col min="1026" max="1026" width="21.77734375" style="2" customWidth="1"/>
    <col min="1027" max="1029" width="9" style="2"/>
    <col min="1030" max="1030" width="9.33203125" style="2" customWidth="1"/>
    <col min="1031" max="1281" width="9" style="2"/>
    <col min="1282" max="1282" width="21.77734375" style="2" customWidth="1"/>
    <col min="1283" max="1285" width="9" style="2"/>
    <col min="1286" max="1286" width="9.33203125" style="2" customWidth="1"/>
    <col min="1287" max="1537" width="9" style="2"/>
    <col min="1538" max="1538" width="21.77734375" style="2" customWidth="1"/>
    <col min="1539" max="1541" width="9" style="2"/>
    <col min="1542" max="1542" width="9.33203125" style="2" customWidth="1"/>
    <col min="1543" max="1793" width="9" style="2"/>
    <col min="1794" max="1794" width="21.77734375" style="2" customWidth="1"/>
    <col min="1795" max="1797" width="9" style="2"/>
    <col min="1798" max="1798" width="9.33203125" style="2" customWidth="1"/>
    <col min="1799" max="2049" width="9" style="2"/>
    <col min="2050" max="2050" width="21.77734375" style="2" customWidth="1"/>
    <col min="2051" max="2053" width="9" style="2"/>
    <col min="2054" max="2054" width="9.33203125" style="2" customWidth="1"/>
    <col min="2055" max="2305" width="9" style="2"/>
    <col min="2306" max="2306" width="21.77734375" style="2" customWidth="1"/>
    <col min="2307" max="2309" width="9" style="2"/>
    <col min="2310" max="2310" width="9.33203125" style="2" customWidth="1"/>
    <col min="2311" max="2561" width="9" style="2"/>
    <col min="2562" max="2562" width="21.77734375" style="2" customWidth="1"/>
    <col min="2563" max="2565" width="9" style="2"/>
    <col min="2566" max="2566" width="9.33203125" style="2" customWidth="1"/>
    <col min="2567" max="2817" width="9" style="2"/>
    <col min="2818" max="2818" width="21.77734375" style="2" customWidth="1"/>
    <col min="2819" max="2821" width="9" style="2"/>
    <col min="2822" max="2822" width="9.33203125" style="2" customWidth="1"/>
    <col min="2823" max="3073" width="9" style="2"/>
    <col min="3074" max="3074" width="21.77734375" style="2" customWidth="1"/>
    <col min="3075" max="3077" width="9" style="2"/>
    <col min="3078" max="3078" width="9.33203125" style="2" customWidth="1"/>
    <col min="3079" max="3329" width="9" style="2"/>
    <col min="3330" max="3330" width="21.77734375" style="2" customWidth="1"/>
    <col min="3331" max="3333" width="9" style="2"/>
    <col min="3334" max="3334" width="9.33203125" style="2" customWidth="1"/>
    <col min="3335" max="3585" width="9" style="2"/>
    <col min="3586" max="3586" width="21.77734375" style="2" customWidth="1"/>
    <col min="3587" max="3589" width="9" style="2"/>
    <col min="3590" max="3590" width="9.33203125" style="2" customWidth="1"/>
    <col min="3591" max="3841" width="9" style="2"/>
    <col min="3842" max="3842" width="21.77734375" style="2" customWidth="1"/>
    <col min="3843" max="3845" width="9" style="2"/>
    <col min="3846" max="3846" width="9.33203125" style="2" customWidth="1"/>
    <col min="3847" max="4097" width="9" style="2"/>
    <col min="4098" max="4098" width="21.77734375" style="2" customWidth="1"/>
    <col min="4099" max="4101" width="9" style="2"/>
    <col min="4102" max="4102" width="9.33203125" style="2" customWidth="1"/>
    <col min="4103" max="4353" width="9" style="2"/>
    <col min="4354" max="4354" width="21.77734375" style="2" customWidth="1"/>
    <col min="4355" max="4357" width="9" style="2"/>
    <col min="4358" max="4358" width="9.33203125" style="2" customWidth="1"/>
    <col min="4359" max="4609" width="9" style="2"/>
    <col min="4610" max="4610" width="21.77734375" style="2" customWidth="1"/>
    <col min="4611" max="4613" width="9" style="2"/>
    <col min="4614" max="4614" width="9.33203125" style="2" customWidth="1"/>
    <col min="4615" max="4865" width="9" style="2"/>
    <col min="4866" max="4866" width="21.77734375" style="2" customWidth="1"/>
    <col min="4867" max="4869" width="9" style="2"/>
    <col min="4870" max="4870" width="9.33203125" style="2" customWidth="1"/>
    <col min="4871" max="5121" width="9" style="2"/>
    <col min="5122" max="5122" width="21.77734375" style="2" customWidth="1"/>
    <col min="5123" max="5125" width="9" style="2"/>
    <col min="5126" max="5126" width="9.33203125" style="2" customWidth="1"/>
    <col min="5127" max="5377" width="9" style="2"/>
    <col min="5378" max="5378" width="21.77734375" style="2" customWidth="1"/>
    <col min="5379" max="5381" width="9" style="2"/>
    <col min="5382" max="5382" width="9.33203125" style="2" customWidth="1"/>
    <col min="5383" max="5633" width="9" style="2"/>
    <col min="5634" max="5634" width="21.77734375" style="2" customWidth="1"/>
    <col min="5635" max="5637" width="9" style="2"/>
    <col min="5638" max="5638" width="9.33203125" style="2" customWidth="1"/>
    <col min="5639" max="5889" width="9" style="2"/>
    <col min="5890" max="5890" width="21.77734375" style="2" customWidth="1"/>
    <col min="5891" max="5893" width="9" style="2"/>
    <col min="5894" max="5894" width="9.33203125" style="2" customWidth="1"/>
    <col min="5895" max="6145" width="9" style="2"/>
    <col min="6146" max="6146" width="21.77734375" style="2" customWidth="1"/>
    <col min="6147" max="6149" width="9" style="2"/>
    <col min="6150" max="6150" width="9.33203125" style="2" customWidth="1"/>
    <col min="6151" max="6401" width="9" style="2"/>
    <col min="6402" max="6402" width="21.77734375" style="2" customWidth="1"/>
    <col min="6403" max="6405" width="9" style="2"/>
    <col min="6406" max="6406" width="9.33203125" style="2" customWidth="1"/>
    <col min="6407" max="6657" width="9" style="2"/>
    <col min="6658" max="6658" width="21.77734375" style="2" customWidth="1"/>
    <col min="6659" max="6661" width="9" style="2"/>
    <col min="6662" max="6662" width="9.33203125" style="2" customWidth="1"/>
    <col min="6663" max="6913" width="9" style="2"/>
    <col min="6914" max="6914" width="21.77734375" style="2" customWidth="1"/>
    <col min="6915" max="6917" width="9" style="2"/>
    <col min="6918" max="6918" width="9.33203125" style="2" customWidth="1"/>
    <col min="6919" max="7169" width="9" style="2"/>
    <col min="7170" max="7170" width="21.77734375" style="2" customWidth="1"/>
    <col min="7171" max="7173" width="9" style="2"/>
    <col min="7174" max="7174" width="9.33203125" style="2" customWidth="1"/>
    <col min="7175" max="7425" width="9" style="2"/>
    <col min="7426" max="7426" width="21.77734375" style="2" customWidth="1"/>
    <col min="7427" max="7429" width="9" style="2"/>
    <col min="7430" max="7430" width="9.33203125" style="2" customWidth="1"/>
    <col min="7431" max="7681" width="9" style="2"/>
    <col min="7682" max="7682" width="21.77734375" style="2" customWidth="1"/>
    <col min="7683" max="7685" width="9" style="2"/>
    <col min="7686" max="7686" width="9.33203125" style="2" customWidth="1"/>
    <col min="7687" max="7937" width="9" style="2"/>
    <col min="7938" max="7938" width="21.77734375" style="2" customWidth="1"/>
    <col min="7939" max="7941" width="9" style="2"/>
    <col min="7942" max="7942" width="9.33203125" style="2" customWidth="1"/>
    <col min="7943" max="8193" width="9" style="2"/>
    <col min="8194" max="8194" width="21.77734375" style="2" customWidth="1"/>
    <col min="8195" max="8197" width="9" style="2"/>
    <col min="8198" max="8198" width="9.33203125" style="2" customWidth="1"/>
    <col min="8199" max="8449" width="9" style="2"/>
    <col min="8450" max="8450" width="21.77734375" style="2" customWidth="1"/>
    <col min="8451" max="8453" width="9" style="2"/>
    <col min="8454" max="8454" width="9.33203125" style="2" customWidth="1"/>
    <col min="8455" max="8705" width="9" style="2"/>
    <col min="8706" max="8706" width="21.77734375" style="2" customWidth="1"/>
    <col min="8707" max="8709" width="9" style="2"/>
    <col min="8710" max="8710" width="9.33203125" style="2" customWidth="1"/>
    <col min="8711" max="8961" width="9" style="2"/>
    <col min="8962" max="8962" width="21.77734375" style="2" customWidth="1"/>
    <col min="8963" max="8965" width="9" style="2"/>
    <col min="8966" max="8966" width="9.33203125" style="2" customWidth="1"/>
    <col min="8967" max="9217" width="9" style="2"/>
    <col min="9218" max="9218" width="21.77734375" style="2" customWidth="1"/>
    <col min="9219" max="9221" width="9" style="2"/>
    <col min="9222" max="9222" width="9.33203125" style="2" customWidth="1"/>
    <col min="9223" max="9473" width="9" style="2"/>
    <col min="9474" max="9474" width="21.77734375" style="2" customWidth="1"/>
    <col min="9475" max="9477" width="9" style="2"/>
    <col min="9478" max="9478" width="9.33203125" style="2" customWidth="1"/>
    <col min="9479" max="9729" width="9" style="2"/>
    <col min="9730" max="9730" width="21.77734375" style="2" customWidth="1"/>
    <col min="9731" max="9733" width="9" style="2"/>
    <col min="9734" max="9734" width="9.33203125" style="2" customWidth="1"/>
    <col min="9735" max="9985" width="9" style="2"/>
    <col min="9986" max="9986" width="21.77734375" style="2" customWidth="1"/>
    <col min="9987" max="9989" width="9" style="2"/>
    <col min="9990" max="9990" width="9.33203125" style="2" customWidth="1"/>
    <col min="9991" max="10241" width="9" style="2"/>
    <col min="10242" max="10242" width="21.77734375" style="2" customWidth="1"/>
    <col min="10243" max="10245" width="9" style="2"/>
    <col min="10246" max="10246" width="9.33203125" style="2" customWidth="1"/>
    <col min="10247" max="10497" width="9" style="2"/>
    <col min="10498" max="10498" width="21.77734375" style="2" customWidth="1"/>
    <col min="10499" max="10501" width="9" style="2"/>
    <col min="10502" max="10502" width="9.33203125" style="2" customWidth="1"/>
    <col min="10503" max="10753" width="9" style="2"/>
    <col min="10754" max="10754" width="21.77734375" style="2" customWidth="1"/>
    <col min="10755" max="10757" width="9" style="2"/>
    <col min="10758" max="10758" width="9.33203125" style="2" customWidth="1"/>
    <col min="10759" max="11009" width="9" style="2"/>
    <col min="11010" max="11010" width="21.77734375" style="2" customWidth="1"/>
    <col min="11011" max="11013" width="9" style="2"/>
    <col min="11014" max="11014" width="9.33203125" style="2" customWidth="1"/>
    <col min="11015" max="11265" width="9" style="2"/>
    <col min="11266" max="11266" width="21.77734375" style="2" customWidth="1"/>
    <col min="11267" max="11269" width="9" style="2"/>
    <col min="11270" max="11270" width="9.33203125" style="2" customWidth="1"/>
    <col min="11271" max="11521" width="9" style="2"/>
    <col min="11522" max="11522" width="21.77734375" style="2" customWidth="1"/>
    <col min="11523" max="11525" width="9" style="2"/>
    <col min="11526" max="11526" width="9.33203125" style="2" customWidth="1"/>
    <col min="11527" max="11777" width="9" style="2"/>
    <col min="11778" max="11778" width="21.77734375" style="2" customWidth="1"/>
    <col min="11779" max="11781" width="9" style="2"/>
    <col min="11782" max="11782" width="9.33203125" style="2" customWidth="1"/>
    <col min="11783" max="12033" width="9" style="2"/>
    <col min="12034" max="12034" width="21.77734375" style="2" customWidth="1"/>
    <col min="12035" max="12037" width="9" style="2"/>
    <col min="12038" max="12038" width="9.33203125" style="2" customWidth="1"/>
    <col min="12039" max="12289" width="9" style="2"/>
    <col min="12290" max="12290" width="21.77734375" style="2" customWidth="1"/>
    <col min="12291" max="12293" width="9" style="2"/>
    <col min="12294" max="12294" width="9.33203125" style="2" customWidth="1"/>
    <col min="12295" max="12545" width="9" style="2"/>
    <col min="12546" max="12546" width="21.77734375" style="2" customWidth="1"/>
    <col min="12547" max="12549" width="9" style="2"/>
    <col min="12550" max="12550" width="9.33203125" style="2" customWidth="1"/>
    <col min="12551" max="12801" width="9" style="2"/>
    <col min="12802" max="12802" width="21.77734375" style="2" customWidth="1"/>
    <col min="12803" max="12805" width="9" style="2"/>
    <col min="12806" max="12806" width="9.33203125" style="2" customWidth="1"/>
    <col min="12807" max="13057" width="9" style="2"/>
    <col min="13058" max="13058" width="21.77734375" style="2" customWidth="1"/>
    <col min="13059" max="13061" width="9" style="2"/>
    <col min="13062" max="13062" width="9.33203125" style="2" customWidth="1"/>
    <col min="13063" max="13313" width="9" style="2"/>
    <col min="13314" max="13314" width="21.77734375" style="2" customWidth="1"/>
    <col min="13315" max="13317" width="9" style="2"/>
    <col min="13318" max="13318" width="9.33203125" style="2" customWidth="1"/>
    <col min="13319" max="13569" width="9" style="2"/>
    <col min="13570" max="13570" width="21.77734375" style="2" customWidth="1"/>
    <col min="13571" max="13573" width="9" style="2"/>
    <col min="13574" max="13574" width="9.33203125" style="2" customWidth="1"/>
    <col min="13575" max="13825" width="9" style="2"/>
    <col min="13826" max="13826" width="21.77734375" style="2" customWidth="1"/>
    <col min="13827" max="13829" width="9" style="2"/>
    <col min="13830" max="13830" width="9.33203125" style="2" customWidth="1"/>
    <col min="13831" max="14081" width="9" style="2"/>
    <col min="14082" max="14082" width="21.77734375" style="2" customWidth="1"/>
    <col min="14083" max="14085" width="9" style="2"/>
    <col min="14086" max="14086" width="9.33203125" style="2" customWidth="1"/>
    <col min="14087" max="14337" width="9" style="2"/>
    <col min="14338" max="14338" width="21.77734375" style="2" customWidth="1"/>
    <col min="14339" max="14341" width="9" style="2"/>
    <col min="14342" max="14342" width="9.33203125" style="2" customWidth="1"/>
    <col min="14343" max="14593" width="9" style="2"/>
    <col min="14594" max="14594" width="21.77734375" style="2" customWidth="1"/>
    <col min="14595" max="14597" width="9" style="2"/>
    <col min="14598" max="14598" width="9.33203125" style="2" customWidth="1"/>
    <col min="14599" max="14849" width="9" style="2"/>
    <col min="14850" max="14850" width="21.77734375" style="2" customWidth="1"/>
    <col min="14851" max="14853" width="9" style="2"/>
    <col min="14854" max="14854" width="9.33203125" style="2" customWidth="1"/>
    <col min="14855" max="15105" width="9" style="2"/>
    <col min="15106" max="15106" width="21.77734375" style="2" customWidth="1"/>
    <col min="15107" max="15109" width="9" style="2"/>
    <col min="15110" max="15110" width="9.33203125" style="2" customWidth="1"/>
    <col min="15111" max="15361" width="9" style="2"/>
    <col min="15362" max="15362" width="21.77734375" style="2" customWidth="1"/>
    <col min="15363" max="15365" width="9" style="2"/>
    <col min="15366" max="15366" width="9.33203125" style="2" customWidth="1"/>
    <col min="15367" max="15617" width="9" style="2"/>
    <col min="15618" max="15618" width="21.77734375" style="2" customWidth="1"/>
    <col min="15619" max="15621" width="9" style="2"/>
    <col min="15622" max="15622" width="9.33203125" style="2" customWidth="1"/>
    <col min="15623" max="15873" width="9" style="2"/>
    <col min="15874" max="15874" width="21.77734375" style="2" customWidth="1"/>
    <col min="15875" max="15877" width="9" style="2"/>
    <col min="15878" max="15878" width="9.33203125" style="2" customWidth="1"/>
    <col min="15879" max="16129" width="9" style="2"/>
    <col min="16130" max="16130" width="21.77734375" style="2" customWidth="1"/>
    <col min="16131" max="16133" width="9" style="2"/>
    <col min="16134" max="16134" width="9.33203125" style="2" customWidth="1"/>
    <col min="16135" max="16384" width="9" style="2"/>
  </cols>
  <sheetData>
    <row r="1" spans="1:7" ht="24">
      <c r="A1" s="6" t="s">
        <v>21</v>
      </c>
      <c r="B1" s="21"/>
      <c r="C1" s="6" t="s">
        <v>22</v>
      </c>
      <c r="D1" s="6" t="s">
        <v>1</v>
      </c>
      <c r="E1" s="7" t="s">
        <v>62</v>
      </c>
      <c r="F1" s="6" t="s">
        <v>194</v>
      </c>
      <c r="G1" s="6" t="s">
        <v>13</v>
      </c>
    </row>
    <row r="2" spans="1:7" ht="24">
      <c r="A2" s="9">
        <v>1</v>
      </c>
      <c r="B2" s="10" t="s">
        <v>295</v>
      </c>
      <c r="C2" s="11" t="s">
        <v>274</v>
      </c>
      <c r="D2" s="12" t="s">
        <v>274</v>
      </c>
      <c r="E2" s="13" t="s">
        <v>274</v>
      </c>
      <c r="F2" s="14" t="s">
        <v>274</v>
      </c>
      <c r="G2" s="12" t="s">
        <v>274</v>
      </c>
    </row>
    <row r="3" spans="1:7" ht="24">
      <c r="A3" s="15"/>
      <c r="B3" s="16" t="s">
        <v>293</v>
      </c>
      <c r="C3" s="20">
        <v>0.115</v>
      </c>
      <c r="D3" s="12" t="s">
        <v>292</v>
      </c>
      <c r="E3" s="13">
        <v>296</v>
      </c>
      <c r="F3" s="14">
        <f>E3*C3</f>
        <v>34.04</v>
      </c>
      <c r="G3" s="15"/>
    </row>
    <row r="4" spans="1:7" ht="24">
      <c r="A4" s="15"/>
      <c r="B4" s="16" t="s">
        <v>294</v>
      </c>
      <c r="C4" s="20">
        <v>2.3E-2</v>
      </c>
      <c r="D4" s="12" t="s">
        <v>292</v>
      </c>
      <c r="E4" s="17">
        <v>138</v>
      </c>
      <c r="F4" s="14">
        <f>E4*C4</f>
        <v>3.1739999999999999</v>
      </c>
      <c r="G4" s="15"/>
    </row>
    <row r="5" spans="1:7" ht="24">
      <c r="A5" s="15"/>
      <c r="B5" s="16" t="s">
        <v>296</v>
      </c>
      <c r="C5" s="22">
        <v>1</v>
      </c>
      <c r="D5" s="12" t="s">
        <v>20</v>
      </c>
      <c r="E5" s="18" t="s">
        <v>129</v>
      </c>
      <c r="F5" s="23">
        <f>ROUND(SUM(F3:F4),0)</f>
        <v>37</v>
      </c>
      <c r="G5" s="19"/>
    </row>
    <row r="6" spans="1:7" ht="24">
      <c r="A6" s="15"/>
      <c r="B6" s="16" t="s">
        <v>298</v>
      </c>
      <c r="C6" s="22">
        <v>1</v>
      </c>
      <c r="D6" s="12" t="s">
        <v>20</v>
      </c>
      <c r="E6" s="18" t="s">
        <v>129</v>
      </c>
      <c r="F6" s="23">
        <v>35</v>
      </c>
      <c r="G6" s="19"/>
    </row>
    <row r="7" spans="1:7" ht="24">
      <c r="A7" s="374" t="s">
        <v>80</v>
      </c>
      <c r="B7" s="374"/>
      <c r="C7" s="374"/>
      <c r="D7" s="374"/>
      <c r="E7" s="374"/>
      <c r="F7" s="8">
        <f>ROUND(SUM(F5:F6),0)</f>
        <v>72</v>
      </c>
      <c r="G7" s="19" t="s">
        <v>200</v>
      </c>
    </row>
  </sheetData>
  <mergeCells count="1">
    <mergeCell ref="A7:E7"/>
  </mergeCells>
  <printOptions horizontalCentered="1"/>
  <pageMargins left="0.59055118110236227" right="0.19685039370078741" top="0.59055118110236227" bottom="0.19685039370078741" header="0.31496062992125984" footer="0.31496062992125984"/>
  <pageSetup orientation="portrait" r:id="rId1"/>
  <rowBreaks count="1" manualBreakCount="1">
    <brk id="7" max="6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934BB-EF0E-4B33-901C-6BB187B82955}">
  <dimension ref="A1:P55"/>
  <sheetViews>
    <sheetView view="pageBreakPreview" topLeftCell="A37" zoomScale="110" zoomScaleNormal="100" zoomScaleSheetLayoutView="110" workbookViewId="0">
      <selection activeCell="G50" sqref="G50:H50"/>
    </sheetView>
  </sheetViews>
  <sheetFormatPr defaultColWidth="9" defaultRowHeight="15.6"/>
  <cols>
    <col min="1" max="1" width="31.5546875" style="208" customWidth="1"/>
    <col min="2" max="2" width="7.77734375" style="208" customWidth="1"/>
    <col min="3" max="3" width="2.6640625" style="208" customWidth="1"/>
    <col min="4" max="4" width="5.5546875" style="208" customWidth="1"/>
    <col min="5" max="5" width="5.21875" style="208" customWidth="1"/>
    <col min="6" max="6" width="8.21875" style="208" customWidth="1"/>
    <col min="7" max="7" width="7.33203125" style="208" customWidth="1"/>
    <col min="8" max="8" width="3.33203125" style="208" customWidth="1"/>
    <col min="9" max="9" width="6" style="208" customWidth="1"/>
    <col min="10" max="10" width="2" style="208" customWidth="1"/>
    <col min="11" max="11" width="1.21875" style="208" customWidth="1"/>
    <col min="12" max="12" width="1.77734375" style="208" customWidth="1"/>
    <col min="13" max="13" width="1.88671875" style="208" customWidth="1"/>
    <col min="14" max="14" width="3.77734375" style="208" customWidth="1"/>
    <col min="15" max="15" width="11.5546875" style="208" customWidth="1"/>
    <col min="16" max="16384" width="9" style="208"/>
  </cols>
  <sheetData>
    <row r="1" spans="1:16" ht="23.4">
      <c r="A1" s="203" t="s">
        <v>358</v>
      </c>
      <c r="B1" s="202"/>
      <c r="C1" s="202"/>
      <c r="D1" s="202"/>
      <c r="E1" s="202"/>
      <c r="F1" s="202"/>
      <c r="G1" s="204"/>
      <c r="H1" s="203"/>
      <c r="I1" s="202"/>
      <c r="J1" s="202"/>
      <c r="K1" s="205"/>
      <c r="L1" s="206"/>
      <c r="M1" s="207"/>
      <c r="N1" s="202"/>
      <c r="O1" s="202"/>
      <c r="P1" s="202"/>
    </row>
    <row r="2" spans="1:16" ht="23.4">
      <c r="A2" s="202" t="s">
        <v>380</v>
      </c>
      <c r="B2" s="263">
        <v>10</v>
      </c>
      <c r="C2" s="202" t="s">
        <v>31</v>
      </c>
      <c r="D2" s="202"/>
      <c r="E2" s="202"/>
      <c r="F2" s="202"/>
      <c r="G2" s="204"/>
      <c r="H2" s="203"/>
      <c r="I2" s="202"/>
      <c r="J2" s="202"/>
      <c r="K2" s="205"/>
      <c r="L2" s="206"/>
      <c r="M2" s="207"/>
      <c r="N2" s="202"/>
      <c r="O2" s="202"/>
      <c r="P2" s="202"/>
    </row>
    <row r="3" spans="1:16" ht="23.4">
      <c r="A3" s="202" t="s">
        <v>359</v>
      </c>
      <c r="B3" s="202"/>
      <c r="C3" s="210" t="s">
        <v>129</v>
      </c>
      <c r="D3" s="375">
        <v>0.95</v>
      </c>
      <c r="E3" s="375"/>
      <c r="F3" s="210" t="s">
        <v>207</v>
      </c>
      <c r="G3" s="369">
        <f>ROUND(คอนกรีต!H19,2)</f>
        <v>2429.8000000000002</v>
      </c>
      <c r="H3" s="369"/>
      <c r="I3" s="202" t="s">
        <v>17</v>
      </c>
      <c r="J3" s="202"/>
      <c r="K3" s="205"/>
      <c r="L3" s="206"/>
      <c r="M3" s="207"/>
      <c r="N3" s="210" t="s">
        <v>75</v>
      </c>
      <c r="O3" s="211">
        <f t="shared" ref="O3:O11" si="0">ROUND(D3*G3,2)</f>
        <v>2308.31</v>
      </c>
      <c r="P3" s="210" t="s">
        <v>17</v>
      </c>
    </row>
    <row r="4" spans="1:16" ht="23.4">
      <c r="A4" s="202" t="s">
        <v>360</v>
      </c>
      <c r="B4" s="202"/>
      <c r="C4" s="210" t="s">
        <v>129</v>
      </c>
      <c r="D4" s="375">
        <v>37.299999999999997</v>
      </c>
      <c r="E4" s="375"/>
      <c r="F4" s="210" t="s">
        <v>208</v>
      </c>
      <c r="G4" s="369">
        <f>ROUND('1.ค่าวัสดุและดำเนินการ'!K13/1000,2)</f>
        <v>30.53</v>
      </c>
      <c r="H4" s="369"/>
      <c r="I4" s="202" t="s">
        <v>17</v>
      </c>
      <c r="J4" s="202"/>
      <c r="K4" s="202"/>
      <c r="L4" s="202"/>
      <c r="M4" s="202"/>
      <c r="N4" s="210" t="s">
        <v>75</v>
      </c>
      <c r="O4" s="211">
        <f t="shared" si="0"/>
        <v>1138.77</v>
      </c>
      <c r="P4" s="210" t="s">
        <v>17</v>
      </c>
    </row>
    <row r="5" spans="1:16" ht="23.4">
      <c r="A5" s="202" t="s">
        <v>209</v>
      </c>
      <c r="B5" s="202"/>
      <c r="C5" s="210" t="s">
        <v>129</v>
      </c>
      <c r="D5" s="375">
        <v>48.9</v>
      </c>
      <c r="E5" s="375"/>
      <c r="F5" s="210" t="s">
        <v>208</v>
      </c>
      <c r="G5" s="369">
        <f>ROUND('1.ค่าวัสดุและดำเนินการ'!K14/1000,2)</f>
        <v>29.02</v>
      </c>
      <c r="H5" s="369"/>
      <c r="I5" s="202" t="s">
        <v>17</v>
      </c>
      <c r="J5" s="202"/>
      <c r="K5" s="202"/>
      <c r="L5" s="202"/>
      <c r="M5" s="202"/>
      <c r="N5" s="210" t="s">
        <v>75</v>
      </c>
      <c r="O5" s="211">
        <f t="shared" si="0"/>
        <v>1419.08</v>
      </c>
      <c r="P5" s="210" t="s">
        <v>17</v>
      </c>
    </row>
    <row r="6" spans="1:16" ht="23.4">
      <c r="A6" s="202" t="s">
        <v>210</v>
      </c>
      <c r="B6" s="202"/>
      <c r="C6" s="210" t="s">
        <v>129</v>
      </c>
      <c r="D6" s="377">
        <f>ROUND(((D4+D5)/1000)*25,2)</f>
        <v>2.16</v>
      </c>
      <c r="E6" s="377"/>
      <c r="F6" s="210" t="s">
        <v>208</v>
      </c>
      <c r="G6" s="369">
        <f>ROUND('1.ค่าวัสดุและดำเนินการ'!K18,2)</f>
        <v>46.1</v>
      </c>
      <c r="H6" s="369"/>
      <c r="I6" s="202" t="s">
        <v>17</v>
      </c>
      <c r="J6" s="202"/>
      <c r="K6" s="202"/>
      <c r="L6" s="202"/>
      <c r="M6" s="202"/>
      <c r="N6" s="210" t="s">
        <v>75</v>
      </c>
      <c r="O6" s="211">
        <f t="shared" si="0"/>
        <v>99.58</v>
      </c>
      <c r="P6" s="210" t="s">
        <v>17</v>
      </c>
    </row>
    <row r="7" spans="1:16" ht="23.4">
      <c r="A7" s="202" t="s">
        <v>211</v>
      </c>
      <c r="B7" s="202"/>
      <c r="C7" s="210" t="s">
        <v>129</v>
      </c>
      <c r="D7" s="375">
        <v>6</v>
      </c>
      <c r="E7" s="375"/>
      <c r="F7" s="210" t="s">
        <v>212</v>
      </c>
      <c r="G7" s="321">
        <f>ROUND(แบบหล่อคอนกรีต!G11,2)</f>
        <v>484</v>
      </c>
      <c r="H7" s="321"/>
      <c r="I7" s="202" t="s">
        <v>17</v>
      </c>
      <c r="J7" s="202"/>
      <c r="K7" s="202"/>
      <c r="L7" s="202"/>
      <c r="M7" s="202"/>
      <c r="N7" s="210" t="s">
        <v>75</v>
      </c>
      <c r="O7" s="211">
        <f t="shared" si="0"/>
        <v>2904</v>
      </c>
      <c r="P7" s="210" t="s">
        <v>17</v>
      </c>
    </row>
    <row r="8" spans="1:16" ht="23.4">
      <c r="A8" s="202" t="s">
        <v>361</v>
      </c>
      <c r="B8" s="202"/>
      <c r="C8" s="210" t="s">
        <v>129</v>
      </c>
      <c r="D8" s="375">
        <v>3.25</v>
      </c>
      <c r="E8" s="375"/>
      <c r="F8" s="210" t="s">
        <v>214</v>
      </c>
      <c r="G8" s="294">
        <v>21.84</v>
      </c>
      <c r="H8" s="294"/>
      <c r="I8" s="202" t="s">
        <v>17</v>
      </c>
      <c r="J8" s="202"/>
      <c r="K8" s="202"/>
      <c r="L8" s="202"/>
      <c r="M8" s="202"/>
      <c r="N8" s="210" t="s">
        <v>75</v>
      </c>
      <c r="O8" s="211">
        <f t="shared" si="0"/>
        <v>70.98</v>
      </c>
      <c r="P8" s="210" t="s">
        <v>17</v>
      </c>
    </row>
    <row r="9" spans="1:16" ht="23.4">
      <c r="A9" s="202" t="s">
        <v>362</v>
      </c>
      <c r="B9" s="202"/>
      <c r="C9" s="210" t="s">
        <v>129</v>
      </c>
      <c r="D9" s="375">
        <v>62.98</v>
      </c>
      <c r="E9" s="375"/>
      <c r="F9" s="210" t="s">
        <v>208</v>
      </c>
      <c r="G9" s="321">
        <f>ROUND('1.ค่าวัสดุและดำเนินการ'!K30/18.362,2)</f>
        <v>26.51</v>
      </c>
      <c r="H9" s="321"/>
      <c r="I9" s="202" t="s">
        <v>17</v>
      </c>
      <c r="J9" s="202"/>
      <c r="K9" s="202"/>
      <c r="L9" s="202"/>
      <c r="M9" s="202"/>
      <c r="N9" s="210" t="s">
        <v>75</v>
      </c>
      <c r="O9" s="211">
        <f t="shared" si="0"/>
        <v>1669.6</v>
      </c>
      <c r="P9" s="210" t="s">
        <v>17</v>
      </c>
    </row>
    <row r="10" spans="1:16" ht="23.4">
      <c r="A10" s="202" t="s">
        <v>92</v>
      </c>
      <c r="B10" s="202"/>
      <c r="C10" s="210" t="s">
        <v>129</v>
      </c>
      <c r="D10" s="375">
        <v>0.25</v>
      </c>
      <c r="E10" s="375"/>
      <c r="F10" s="210" t="s">
        <v>214</v>
      </c>
      <c r="G10" s="321">
        <f>ROUND(คอนกรีต!J10,2)</f>
        <v>2261.04</v>
      </c>
      <c r="H10" s="321"/>
      <c r="I10" s="202" t="s">
        <v>17</v>
      </c>
      <c r="J10" s="202"/>
      <c r="K10" s="202"/>
      <c r="L10" s="202"/>
      <c r="M10" s="202"/>
      <c r="N10" s="210" t="s">
        <v>75</v>
      </c>
      <c r="O10" s="211">
        <f t="shared" si="0"/>
        <v>565.26</v>
      </c>
      <c r="P10" s="210" t="s">
        <v>17</v>
      </c>
    </row>
    <row r="11" spans="1:16" ht="23.4">
      <c r="A11" s="202" t="s">
        <v>302</v>
      </c>
      <c r="B11" s="202"/>
      <c r="C11" s="210" t="s">
        <v>129</v>
      </c>
      <c r="D11" s="375">
        <v>0.31</v>
      </c>
      <c r="E11" s="375"/>
      <c r="F11" s="210" t="s">
        <v>214</v>
      </c>
      <c r="G11" s="321">
        <f>ROUND('2.ราคาต่อหน่วยผิวทาง'!P12,2)</f>
        <v>776</v>
      </c>
      <c r="H11" s="321"/>
      <c r="I11" s="202" t="s">
        <v>17</v>
      </c>
      <c r="J11" s="202"/>
      <c r="K11" s="202"/>
      <c r="L11" s="202"/>
      <c r="M11" s="202"/>
      <c r="N11" s="210" t="s">
        <v>75</v>
      </c>
      <c r="O11" s="211">
        <f t="shared" si="0"/>
        <v>240.56</v>
      </c>
      <c r="P11" s="210" t="s">
        <v>17</v>
      </c>
    </row>
    <row r="12" spans="1:16" ht="23.4">
      <c r="A12" s="202" t="s">
        <v>79</v>
      </c>
      <c r="B12" s="202"/>
      <c r="C12" s="202"/>
      <c r="D12" s="213"/>
      <c r="E12" s="202"/>
      <c r="F12" s="202"/>
      <c r="G12" s="202"/>
      <c r="H12" s="202"/>
      <c r="I12" s="202"/>
      <c r="J12" s="202"/>
      <c r="K12" s="202"/>
      <c r="L12" s="202"/>
      <c r="M12" s="202"/>
      <c r="N12" s="210" t="s">
        <v>75</v>
      </c>
      <c r="O12" s="214">
        <f>ROUND((SUM(O3:O11)),2)</f>
        <v>10416.14</v>
      </c>
      <c r="P12" s="210" t="s">
        <v>17</v>
      </c>
    </row>
    <row r="13" spans="1:16" ht="23.4">
      <c r="A13" s="212" t="s">
        <v>80</v>
      </c>
      <c r="B13" s="202"/>
      <c r="C13" s="210" t="s">
        <v>129</v>
      </c>
      <c r="D13" s="369">
        <f>O12</f>
        <v>10416.14</v>
      </c>
      <c r="E13" s="369"/>
      <c r="F13" s="210" t="s">
        <v>88</v>
      </c>
      <c r="G13" s="376">
        <f>B2</f>
        <v>10</v>
      </c>
      <c r="H13" s="376"/>
      <c r="I13" s="264"/>
      <c r="J13" s="202"/>
      <c r="K13" s="202"/>
      <c r="L13" s="202"/>
      <c r="M13" s="202"/>
      <c r="N13" s="210" t="s">
        <v>75</v>
      </c>
      <c r="O13" s="265">
        <f>ROUND(D13/G13,2)</f>
        <v>1041.6099999999999</v>
      </c>
      <c r="P13" s="210" t="s">
        <v>105</v>
      </c>
    </row>
    <row r="14" spans="1:16" ht="24" thickBot="1">
      <c r="M14" s="215" t="s">
        <v>168</v>
      </c>
      <c r="N14" s="210" t="s">
        <v>75</v>
      </c>
      <c r="O14" s="216">
        <f>ROUNDDOWN(O13,0)</f>
        <v>1041</v>
      </c>
      <c r="P14" s="210" t="s">
        <v>105</v>
      </c>
    </row>
    <row r="15" spans="1:16" ht="24" thickTop="1">
      <c r="M15" s="215"/>
      <c r="N15" s="210"/>
      <c r="O15" s="217"/>
      <c r="P15" s="210"/>
    </row>
    <row r="16" spans="1:16" ht="23.4">
      <c r="A16" s="202" t="s">
        <v>381</v>
      </c>
      <c r="B16" s="276">
        <v>77</v>
      </c>
      <c r="C16" s="202" t="s">
        <v>31</v>
      </c>
      <c r="D16" s="202"/>
      <c r="E16" s="202"/>
      <c r="F16" s="202"/>
      <c r="G16" s="204"/>
      <c r="H16" s="203"/>
      <c r="I16" s="202"/>
      <c r="J16" s="202"/>
      <c r="K16" s="205"/>
      <c r="L16" s="206"/>
      <c r="M16" s="207"/>
      <c r="N16" s="202"/>
      <c r="O16" s="202"/>
      <c r="P16" s="202"/>
    </row>
    <row r="17" spans="1:16" ht="23.4">
      <c r="A17" s="202" t="s">
        <v>359</v>
      </c>
      <c r="B17" s="202"/>
      <c r="C17" s="210" t="s">
        <v>129</v>
      </c>
      <c r="D17" s="375">
        <v>9.6300000000000008</v>
      </c>
      <c r="E17" s="375"/>
      <c r="F17" s="210" t="s">
        <v>207</v>
      </c>
      <c r="G17" s="369">
        <f>ROUND(คอนกรีต!H19,2)</f>
        <v>2429.8000000000002</v>
      </c>
      <c r="H17" s="369"/>
      <c r="I17" s="202" t="s">
        <v>17</v>
      </c>
      <c r="J17" s="202"/>
      <c r="K17" s="205"/>
      <c r="L17" s="206"/>
      <c r="M17" s="207"/>
      <c r="N17" s="210" t="s">
        <v>75</v>
      </c>
      <c r="O17" s="211">
        <f t="shared" ref="O17:O25" si="1">ROUND(D17*G17,2)</f>
        <v>23398.97</v>
      </c>
      <c r="P17" s="210" t="s">
        <v>17</v>
      </c>
    </row>
    <row r="18" spans="1:16" ht="23.4">
      <c r="A18" s="202" t="s">
        <v>360</v>
      </c>
      <c r="B18" s="202"/>
      <c r="C18" s="210" t="s">
        <v>129</v>
      </c>
      <c r="D18" s="375">
        <v>323.08</v>
      </c>
      <c r="E18" s="375"/>
      <c r="F18" s="210" t="s">
        <v>208</v>
      </c>
      <c r="G18" s="369">
        <f>ROUND('1.ค่าวัสดุและดำเนินการ'!K13/1000,2)</f>
        <v>30.53</v>
      </c>
      <c r="H18" s="369"/>
      <c r="I18" s="202" t="s">
        <v>17</v>
      </c>
      <c r="J18" s="202"/>
      <c r="K18" s="202"/>
      <c r="L18" s="202"/>
      <c r="M18" s="202"/>
      <c r="N18" s="210" t="s">
        <v>75</v>
      </c>
      <c r="O18" s="211">
        <f t="shared" si="1"/>
        <v>9863.6299999999992</v>
      </c>
      <c r="P18" s="210" t="s">
        <v>17</v>
      </c>
    </row>
    <row r="19" spans="1:16" ht="23.4">
      <c r="A19" s="202" t="s">
        <v>209</v>
      </c>
      <c r="B19" s="202"/>
      <c r="C19" s="210" t="s">
        <v>129</v>
      </c>
      <c r="D19" s="375">
        <v>535.85</v>
      </c>
      <c r="E19" s="375"/>
      <c r="F19" s="210" t="s">
        <v>208</v>
      </c>
      <c r="G19" s="369">
        <f>ROUND('1.ค่าวัสดุและดำเนินการ'!K14/1000,2)</f>
        <v>29.02</v>
      </c>
      <c r="H19" s="369"/>
      <c r="I19" s="202" t="s">
        <v>17</v>
      </c>
      <c r="J19" s="202"/>
      <c r="K19" s="202"/>
      <c r="L19" s="202"/>
      <c r="M19" s="202"/>
      <c r="N19" s="210" t="s">
        <v>75</v>
      </c>
      <c r="O19" s="211">
        <f t="shared" si="1"/>
        <v>15550.37</v>
      </c>
      <c r="P19" s="210" t="s">
        <v>17</v>
      </c>
    </row>
    <row r="20" spans="1:16" ht="23.4">
      <c r="A20" s="202" t="s">
        <v>210</v>
      </c>
      <c r="B20" s="202"/>
      <c r="C20" s="210" t="s">
        <v>129</v>
      </c>
      <c r="D20" s="377">
        <f>ROUND(((D18+D19)/1000)*25,2)</f>
        <v>21.47</v>
      </c>
      <c r="E20" s="377"/>
      <c r="F20" s="210" t="s">
        <v>208</v>
      </c>
      <c r="G20" s="369">
        <f>ROUND('1.ค่าวัสดุและดำเนินการ'!K18,2)</f>
        <v>46.1</v>
      </c>
      <c r="H20" s="369"/>
      <c r="I20" s="202" t="s">
        <v>17</v>
      </c>
      <c r="J20" s="202"/>
      <c r="K20" s="202"/>
      <c r="L20" s="202"/>
      <c r="M20" s="202"/>
      <c r="N20" s="210" t="s">
        <v>75</v>
      </c>
      <c r="O20" s="211">
        <f t="shared" si="1"/>
        <v>989.77</v>
      </c>
      <c r="P20" s="210" t="s">
        <v>17</v>
      </c>
    </row>
    <row r="21" spans="1:16" ht="23.4">
      <c r="A21" s="202" t="s">
        <v>211</v>
      </c>
      <c r="B21" s="202"/>
      <c r="C21" s="210" t="s">
        <v>129</v>
      </c>
      <c r="D21" s="375">
        <v>69.3</v>
      </c>
      <c r="E21" s="375"/>
      <c r="F21" s="210" t="s">
        <v>212</v>
      </c>
      <c r="G21" s="321">
        <f>ROUND(แบบหล่อคอนกรีต!G11,2)</f>
        <v>484</v>
      </c>
      <c r="H21" s="321"/>
      <c r="I21" s="202" t="s">
        <v>17</v>
      </c>
      <c r="J21" s="202"/>
      <c r="K21" s="202"/>
      <c r="L21" s="202"/>
      <c r="M21" s="202"/>
      <c r="N21" s="210" t="s">
        <v>75</v>
      </c>
      <c r="O21" s="211">
        <f t="shared" si="1"/>
        <v>33541.199999999997</v>
      </c>
      <c r="P21" s="210" t="s">
        <v>17</v>
      </c>
    </row>
    <row r="22" spans="1:16" ht="23.4">
      <c r="A22" s="202" t="s">
        <v>361</v>
      </c>
      <c r="B22" s="202"/>
      <c r="C22" s="210" t="s">
        <v>129</v>
      </c>
      <c r="D22" s="375">
        <v>32.53</v>
      </c>
      <c r="E22" s="375"/>
      <c r="F22" s="210" t="s">
        <v>214</v>
      </c>
      <c r="G22" s="294">
        <v>21.84</v>
      </c>
      <c r="H22" s="294"/>
      <c r="I22" s="202" t="s">
        <v>17</v>
      </c>
      <c r="J22" s="202"/>
      <c r="K22" s="202"/>
      <c r="L22" s="202"/>
      <c r="M22" s="202"/>
      <c r="N22" s="210" t="s">
        <v>75</v>
      </c>
      <c r="O22" s="211">
        <f t="shared" si="1"/>
        <v>710.46</v>
      </c>
      <c r="P22" s="210" t="s">
        <v>17</v>
      </c>
    </row>
    <row r="23" spans="1:16" ht="23.4">
      <c r="A23" s="202" t="s">
        <v>362</v>
      </c>
      <c r="B23" s="202"/>
      <c r="C23" s="210" t="s">
        <v>129</v>
      </c>
      <c r="D23" s="375">
        <v>485.44</v>
      </c>
      <c r="E23" s="375"/>
      <c r="F23" s="210" t="s">
        <v>208</v>
      </c>
      <c r="G23" s="321">
        <f>ROUND('1.ค่าวัสดุและดำเนินการ'!K30/18.362,2)</f>
        <v>26.51</v>
      </c>
      <c r="H23" s="321"/>
      <c r="I23" s="202" t="s">
        <v>17</v>
      </c>
      <c r="J23" s="202"/>
      <c r="K23" s="202"/>
      <c r="L23" s="202"/>
      <c r="M23" s="202"/>
      <c r="N23" s="210" t="s">
        <v>75</v>
      </c>
      <c r="O23" s="211">
        <f t="shared" si="1"/>
        <v>12869.01</v>
      </c>
      <c r="P23" s="210" t="s">
        <v>17</v>
      </c>
    </row>
    <row r="24" spans="1:16" ht="23.4">
      <c r="A24" s="202" t="s">
        <v>92</v>
      </c>
      <c r="B24" s="202"/>
      <c r="C24" s="210" t="s">
        <v>129</v>
      </c>
      <c r="D24" s="375">
        <v>1.93</v>
      </c>
      <c r="E24" s="375"/>
      <c r="F24" s="210" t="s">
        <v>214</v>
      </c>
      <c r="G24" s="321">
        <f>ROUND(คอนกรีต!J10,2)</f>
        <v>2261.04</v>
      </c>
      <c r="H24" s="321"/>
      <c r="I24" s="202" t="s">
        <v>17</v>
      </c>
      <c r="J24" s="202"/>
      <c r="K24" s="202"/>
      <c r="L24" s="202"/>
      <c r="M24" s="202"/>
      <c r="N24" s="210" t="s">
        <v>75</v>
      </c>
      <c r="O24" s="211">
        <f t="shared" si="1"/>
        <v>4363.8100000000004</v>
      </c>
      <c r="P24" s="210" t="s">
        <v>17</v>
      </c>
    </row>
    <row r="25" spans="1:16" ht="23.4">
      <c r="A25" s="202" t="s">
        <v>302</v>
      </c>
      <c r="B25" s="202"/>
      <c r="C25" s="210" t="s">
        <v>129</v>
      </c>
      <c r="D25" s="375">
        <v>2.41</v>
      </c>
      <c r="E25" s="375"/>
      <c r="F25" s="210" t="s">
        <v>214</v>
      </c>
      <c r="G25" s="321">
        <f>ROUND('2.ราคาต่อหน่วยผิวทาง'!P12,2)</f>
        <v>776</v>
      </c>
      <c r="H25" s="321"/>
      <c r="I25" s="202" t="s">
        <v>17</v>
      </c>
      <c r="J25" s="202"/>
      <c r="K25" s="202"/>
      <c r="L25" s="202"/>
      <c r="M25" s="202"/>
      <c r="N25" s="210" t="s">
        <v>75</v>
      </c>
      <c r="O25" s="211">
        <f t="shared" si="1"/>
        <v>1870.16</v>
      </c>
      <c r="P25" s="210" t="s">
        <v>17</v>
      </c>
    </row>
    <row r="26" spans="1:16" ht="23.4">
      <c r="A26" s="202" t="s">
        <v>79</v>
      </c>
      <c r="B26" s="202"/>
      <c r="C26" s="202"/>
      <c r="D26" s="213"/>
      <c r="E26" s="202"/>
      <c r="F26" s="202"/>
      <c r="G26" s="202"/>
      <c r="H26" s="202"/>
      <c r="I26" s="202"/>
      <c r="J26" s="202"/>
      <c r="K26" s="202"/>
      <c r="L26" s="202"/>
      <c r="M26" s="202"/>
      <c r="N26" s="210" t="s">
        <v>75</v>
      </c>
      <c r="O26" s="214">
        <f>ROUND((SUM(O17:O25)),2)</f>
        <v>103157.38</v>
      </c>
      <c r="P26" s="210" t="s">
        <v>17</v>
      </c>
    </row>
    <row r="27" spans="1:16" ht="23.4">
      <c r="A27" s="212" t="s">
        <v>80</v>
      </c>
      <c r="B27" s="202"/>
      <c r="C27" s="210" t="s">
        <v>129</v>
      </c>
      <c r="D27" s="369">
        <f>O26</f>
        <v>103157.38</v>
      </c>
      <c r="E27" s="369"/>
      <c r="F27" s="210" t="s">
        <v>88</v>
      </c>
      <c r="G27" s="376">
        <f>B16</f>
        <v>77</v>
      </c>
      <c r="H27" s="376"/>
      <c r="I27" s="264"/>
      <c r="J27" s="202"/>
      <c r="K27" s="202"/>
      <c r="L27" s="202"/>
      <c r="M27" s="202"/>
      <c r="N27" s="210" t="s">
        <v>75</v>
      </c>
      <c r="O27" s="265">
        <f>ROUND(D27/G27,2)</f>
        <v>1339.71</v>
      </c>
      <c r="P27" s="210" t="s">
        <v>105</v>
      </c>
    </row>
    <row r="28" spans="1:16" ht="24" thickBot="1">
      <c r="M28" s="215" t="s">
        <v>168</v>
      </c>
      <c r="N28" s="210" t="s">
        <v>75</v>
      </c>
      <c r="O28" s="216">
        <f>ROUNDDOWN(O27,0)</f>
        <v>1339</v>
      </c>
      <c r="P28" s="210" t="s">
        <v>105</v>
      </c>
    </row>
    <row r="29" spans="1:16" ht="24" thickTop="1">
      <c r="M29" s="215"/>
      <c r="N29" s="210"/>
      <c r="O29" s="217"/>
      <c r="P29" s="210"/>
    </row>
    <row r="30" spans="1:16" ht="23.4">
      <c r="A30" s="202" t="s">
        <v>382</v>
      </c>
      <c r="B30" s="280">
        <v>48</v>
      </c>
      <c r="C30" s="202" t="s">
        <v>31</v>
      </c>
      <c r="D30" s="202"/>
      <c r="E30" s="202"/>
      <c r="F30" s="202"/>
      <c r="G30" s="204"/>
      <c r="H30" s="203"/>
      <c r="I30" s="202"/>
      <c r="J30" s="202"/>
      <c r="K30" s="205"/>
      <c r="L30" s="206"/>
      <c r="M30" s="207"/>
      <c r="N30" s="202"/>
      <c r="O30" s="202"/>
      <c r="P30" s="202"/>
    </row>
    <row r="31" spans="1:16" ht="23.4">
      <c r="A31" s="202" t="s">
        <v>359</v>
      </c>
      <c r="B31" s="202"/>
      <c r="C31" s="210" t="s">
        <v>129</v>
      </c>
      <c r="D31" s="375">
        <v>6</v>
      </c>
      <c r="E31" s="375"/>
      <c r="F31" s="210" t="s">
        <v>207</v>
      </c>
      <c r="G31" s="369">
        <f>ROUND(คอนกรีต!H19,2)</f>
        <v>2429.8000000000002</v>
      </c>
      <c r="H31" s="369"/>
      <c r="I31" s="202" t="s">
        <v>17</v>
      </c>
      <c r="J31" s="202"/>
      <c r="K31" s="205"/>
      <c r="L31" s="206"/>
      <c r="M31" s="207"/>
      <c r="N31" s="210" t="s">
        <v>75</v>
      </c>
      <c r="O31" s="211">
        <f t="shared" ref="O31:O39" si="2">ROUND(D31*G31,2)</f>
        <v>14578.8</v>
      </c>
      <c r="P31" s="210" t="s">
        <v>17</v>
      </c>
    </row>
    <row r="32" spans="1:16" ht="23.4">
      <c r="A32" s="202" t="s">
        <v>360</v>
      </c>
      <c r="B32" s="202"/>
      <c r="C32" s="210" t="s">
        <v>129</v>
      </c>
      <c r="D32" s="375">
        <v>201.45</v>
      </c>
      <c r="E32" s="375"/>
      <c r="F32" s="210" t="s">
        <v>208</v>
      </c>
      <c r="G32" s="369">
        <f>ROUND('1.ค่าวัสดุและดำเนินการ'!K13/1000,2)</f>
        <v>30.53</v>
      </c>
      <c r="H32" s="369"/>
      <c r="I32" s="202" t="s">
        <v>17</v>
      </c>
      <c r="J32" s="202"/>
      <c r="K32" s="202"/>
      <c r="L32" s="202"/>
      <c r="M32" s="202"/>
      <c r="N32" s="210" t="s">
        <v>75</v>
      </c>
      <c r="O32" s="211">
        <f t="shared" si="2"/>
        <v>6150.27</v>
      </c>
      <c r="P32" s="210" t="s">
        <v>17</v>
      </c>
    </row>
    <row r="33" spans="1:16" ht="23.4">
      <c r="A33" s="202" t="s">
        <v>209</v>
      </c>
      <c r="B33" s="202"/>
      <c r="C33" s="210" t="s">
        <v>129</v>
      </c>
      <c r="D33" s="375">
        <v>334.55</v>
      </c>
      <c r="E33" s="375"/>
      <c r="F33" s="210" t="s">
        <v>208</v>
      </c>
      <c r="G33" s="369">
        <f>ROUND('1.ค่าวัสดุและดำเนินการ'!K14/1000,2)</f>
        <v>29.02</v>
      </c>
      <c r="H33" s="369"/>
      <c r="I33" s="202" t="s">
        <v>17</v>
      </c>
      <c r="J33" s="202"/>
      <c r="K33" s="202"/>
      <c r="L33" s="202"/>
      <c r="M33" s="202"/>
      <c r="N33" s="210" t="s">
        <v>75</v>
      </c>
      <c r="O33" s="211">
        <f t="shared" si="2"/>
        <v>9708.64</v>
      </c>
      <c r="P33" s="210" t="s">
        <v>17</v>
      </c>
    </row>
    <row r="34" spans="1:16" ht="23.4">
      <c r="A34" s="202" t="s">
        <v>210</v>
      </c>
      <c r="B34" s="202"/>
      <c r="C34" s="210" t="s">
        <v>129</v>
      </c>
      <c r="D34" s="377">
        <f>ROUND(((D32+D33)/1000)*25,2)</f>
        <v>13.4</v>
      </c>
      <c r="E34" s="377"/>
      <c r="F34" s="210" t="s">
        <v>208</v>
      </c>
      <c r="G34" s="369">
        <f>ROUND('1.ค่าวัสดุและดำเนินการ'!K18,2)</f>
        <v>46.1</v>
      </c>
      <c r="H34" s="369"/>
      <c r="I34" s="202" t="s">
        <v>17</v>
      </c>
      <c r="J34" s="202"/>
      <c r="K34" s="202"/>
      <c r="L34" s="202"/>
      <c r="M34" s="202"/>
      <c r="N34" s="210" t="s">
        <v>75</v>
      </c>
      <c r="O34" s="211">
        <f t="shared" si="2"/>
        <v>617.74</v>
      </c>
      <c r="P34" s="210" t="s">
        <v>17</v>
      </c>
    </row>
    <row r="35" spans="1:16" ht="23.4">
      <c r="A35" s="202" t="s">
        <v>211</v>
      </c>
      <c r="B35" s="202"/>
      <c r="C35" s="210" t="s">
        <v>129</v>
      </c>
      <c r="D35" s="375">
        <v>43.2</v>
      </c>
      <c r="E35" s="375"/>
      <c r="F35" s="210" t="s">
        <v>212</v>
      </c>
      <c r="G35" s="321">
        <f>ROUND(แบบหล่อคอนกรีต!G11,2)</f>
        <v>484</v>
      </c>
      <c r="H35" s="321"/>
      <c r="I35" s="202" t="s">
        <v>17</v>
      </c>
      <c r="J35" s="202"/>
      <c r="K35" s="202"/>
      <c r="L35" s="202"/>
      <c r="M35" s="202"/>
      <c r="N35" s="210" t="s">
        <v>75</v>
      </c>
      <c r="O35" s="211">
        <f t="shared" si="2"/>
        <v>20908.8</v>
      </c>
      <c r="P35" s="210" t="s">
        <v>17</v>
      </c>
    </row>
    <row r="36" spans="1:16" ht="23.4">
      <c r="A36" s="202" t="s">
        <v>361</v>
      </c>
      <c r="B36" s="202"/>
      <c r="C36" s="210" t="s">
        <v>129</v>
      </c>
      <c r="D36" s="375">
        <v>20.28</v>
      </c>
      <c r="E36" s="375"/>
      <c r="F36" s="210" t="s">
        <v>214</v>
      </c>
      <c r="G36" s="294">
        <v>21.84</v>
      </c>
      <c r="H36" s="294"/>
      <c r="I36" s="202" t="s">
        <v>17</v>
      </c>
      <c r="J36" s="202"/>
      <c r="K36" s="202"/>
      <c r="L36" s="202"/>
      <c r="M36" s="202"/>
      <c r="N36" s="210" t="s">
        <v>75</v>
      </c>
      <c r="O36" s="211">
        <f t="shared" si="2"/>
        <v>442.92</v>
      </c>
      <c r="P36" s="210" t="s">
        <v>17</v>
      </c>
    </row>
    <row r="37" spans="1:16" ht="23.4">
      <c r="A37" s="202" t="s">
        <v>362</v>
      </c>
      <c r="B37" s="202"/>
      <c r="C37" s="210" t="s">
        <v>129</v>
      </c>
      <c r="D37" s="375">
        <v>302.57</v>
      </c>
      <c r="E37" s="375"/>
      <c r="F37" s="210" t="s">
        <v>208</v>
      </c>
      <c r="G37" s="321">
        <f>ROUND('1.ค่าวัสดุและดำเนินการ'!K30/18.362,2)</f>
        <v>26.51</v>
      </c>
      <c r="H37" s="321"/>
      <c r="I37" s="202" t="s">
        <v>17</v>
      </c>
      <c r="J37" s="202"/>
      <c r="K37" s="202"/>
      <c r="L37" s="202"/>
      <c r="M37" s="202"/>
      <c r="N37" s="210" t="s">
        <v>75</v>
      </c>
      <c r="O37" s="211">
        <f t="shared" si="2"/>
        <v>8021.13</v>
      </c>
      <c r="P37" s="210" t="s">
        <v>17</v>
      </c>
    </row>
    <row r="38" spans="1:16" ht="23.4">
      <c r="A38" s="202" t="s">
        <v>92</v>
      </c>
      <c r="B38" s="202"/>
      <c r="C38" s="210" t="s">
        <v>129</v>
      </c>
      <c r="D38" s="375">
        <v>1.2</v>
      </c>
      <c r="E38" s="375"/>
      <c r="F38" s="210" t="s">
        <v>214</v>
      </c>
      <c r="G38" s="321">
        <f>ROUND(คอนกรีต!J10,2)</f>
        <v>2261.04</v>
      </c>
      <c r="H38" s="321"/>
      <c r="I38" s="202" t="s">
        <v>17</v>
      </c>
      <c r="J38" s="202"/>
      <c r="K38" s="202"/>
      <c r="L38" s="202"/>
      <c r="M38" s="202"/>
      <c r="N38" s="210" t="s">
        <v>75</v>
      </c>
      <c r="O38" s="211">
        <f t="shared" si="2"/>
        <v>2713.25</v>
      </c>
      <c r="P38" s="210" t="s">
        <v>17</v>
      </c>
    </row>
    <row r="39" spans="1:16" ht="23.4">
      <c r="A39" s="202" t="s">
        <v>302</v>
      </c>
      <c r="B39" s="202"/>
      <c r="C39" s="210" t="s">
        <v>129</v>
      </c>
      <c r="D39" s="375">
        <v>1.5</v>
      </c>
      <c r="E39" s="375"/>
      <c r="F39" s="210" t="s">
        <v>214</v>
      </c>
      <c r="G39" s="321">
        <f>ROUND('2.ราคาต่อหน่วยผิวทาง'!P12,2)</f>
        <v>776</v>
      </c>
      <c r="H39" s="321"/>
      <c r="I39" s="202" t="s">
        <v>17</v>
      </c>
      <c r="J39" s="202"/>
      <c r="K39" s="202"/>
      <c r="L39" s="202"/>
      <c r="M39" s="202"/>
      <c r="N39" s="210" t="s">
        <v>75</v>
      </c>
      <c r="O39" s="211">
        <f t="shared" si="2"/>
        <v>1164</v>
      </c>
      <c r="P39" s="210" t="s">
        <v>17</v>
      </c>
    </row>
    <row r="40" spans="1:16" ht="23.4">
      <c r="A40" s="202" t="s">
        <v>79</v>
      </c>
      <c r="B40" s="202"/>
      <c r="C40" s="202"/>
      <c r="D40" s="213"/>
      <c r="E40" s="202"/>
      <c r="F40" s="202"/>
      <c r="G40" s="202"/>
      <c r="H40" s="202"/>
      <c r="I40" s="202"/>
      <c r="J40" s="202"/>
      <c r="K40" s="202"/>
      <c r="L40" s="202"/>
      <c r="M40" s="202"/>
      <c r="N40" s="210" t="s">
        <v>75</v>
      </c>
      <c r="O40" s="214">
        <f>ROUND((SUM(O31:O39)),2)</f>
        <v>64305.55</v>
      </c>
      <c r="P40" s="210" t="s">
        <v>17</v>
      </c>
    </row>
    <row r="41" spans="1:16" ht="23.4">
      <c r="A41" s="212" t="s">
        <v>80</v>
      </c>
      <c r="B41" s="202"/>
      <c r="C41" s="210" t="s">
        <v>129</v>
      </c>
      <c r="D41" s="369">
        <f>O40</f>
        <v>64305.55</v>
      </c>
      <c r="E41" s="369"/>
      <c r="F41" s="210" t="s">
        <v>88</v>
      </c>
      <c r="G41" s="376">
        <f>B30</f>
        <v>48</v>
      </c>
      <c r="H41" s="376"/>
      <c r="I41" s="264"/>
      <c r="J41" s="202"/>
      <c r="K41" s="202"/>
      <c r="L41" s="202"/>
      <c r="M41" s="202"/>
      <c r="N41" s="210" t="s">
        <v>75</v>
      </c>
      <c r="O41" s="265">
        <f>ROUND(D41/G41,2)</f>
        <v>1339.7</v>
      </c>
      <c r="P41" s="210" t="s">
        <v>105</v>
      </c>
    </row>
    <row r="42" spans="1:16" ht="24" thickBot="1">
      <c r="M42" s="215" t="s">
        <v>168</v>
      </c>
      <c r="N42" s="210" t="s">
        <v>75</v>
      </c>
      <c r="O42" s="216">
        <f>ROUNDDOWN(O41,0)</f>
        <v>1339</v>
      </c>
      <c r="P42" s="210" t="s">
        <v>105</v>
      </c>
    </row>
    <row r="43" spans="1:16" ht="24" thickTop="1">
      <c r="M43" s="215"/>
      <c r="N43" s="210"/>
      <c r="O43" s="217"/>
      <c r="P43" s="210"/>
    </row>
    <row r="44" spans="1:16" ht="23.4">
      <c r="A44" s="202" t="s">
        <v>383</v>
      </c>
      <c r="B44" s="209">
        <v>1</v>
      </c>
      <c r="C44" s="202" t="s">
        <v>216</v>
      </c>
      <c r="D44" s="202"/>
      <c r="E44" s="202"/>
      <c r="F44" s="202"/>
      <c r="G44" s="204"/>
      <c r="H44" s="203"/>
      <c r="I44" s="202"/>
      <c r="J44" s="202"/>
      <c r="K44" s="205"/>
      <c r="L44" s="206"/>
      <c r="M44" s="207"/>
      <c r="N44" s="202"/>
      <c r="O44" s="202"/>
      <c r="P44" s="202"/>
    </row>
    <row r="45" spans="1:16" ht="23.4">
      <c r="A45" s="202" t="s">
        <v>359</v>
      </c>
      <c r="B45" s="202"/>
      <c r="C45" s="210" t="s">
        <v>129</v>
      </c>
      <c r="D45" s="375">
        <v>0.03</v>
      </c>
      <c r="E45" s="375"/>
      <c r="F45" s="210" t="s">
        <v>207</v>
      </c>
      <c r="G45" s="369">
        <f>ROUND(คอนกรีต!H19,2)</f>
        <v>2429.8000000000002</v>
      </c>
      <c r="H45" s="369"/>
      <c r="I45" s="202" t="s">
        <v>17</v>
      </c>
      <c r="J45" s="202"/>
      <c r="K45" s="205"/>
      <c r="L45" s="206"/>
      <c r="M45" s="207"/>
      <c r="N45" s="210" t="s">
        <v>75</v>
      </c>
      <c r="O45" s="211">
        <f t="shared" ref="O45:O50" si="3">ROUND(D45*G45,2)</f>
        <v>72.89</v>
      </c>
      <c r="P45" s="210" t="s">
        <v>17</v>
      </c>
    </row>
    <row r="46" spans="1:16" ht="23.4">
      <c r="A46" s="202" t="s">
        <v>360</v>
      </c>
      <c r="B46" s="202"/>
      <c r="C46" s="210" t="s">
        <v>129</v>
      </c>
      <c r="D46" s="375">
        <v>1.03</v>
      </c>
      <c r="E46" s="375"/>
      <c r="F46" s="210" t="s">
        <v>208</v>
      </c>
      <c r="G46" s="369">
        <f>ROUND('1.ค่าวัสดุและดำเนินการ'!K13/1000,2)</f>
        <v>30.53</v>
      </c>
      <c r="H46" s="369"/>
      <c r="I46" s="202" t="s">
        <v>17</v>
      </c>
      <c r="J46" s="202"/>
      <c r="K46" s="202"/>
      <c r="L46" s="202"/>
      <c r="M46" s="202"/>
      <c r="N46" s="210" t="s">
        <v>75</v>
      </c>
      <c r="O46" s="211">
        <f t="shared" si="3"/>
        <v>31.45</v>
      </c>
      <c r="P46" s="210" t="s">
        <v>17</v>
      </c>
    </row>
    <row r="47" spans="1:16" ht="23.4">
      <c r="A47" s="202" t="s">
        <v>209</v>
      </c>
      <c r="B47" s="202"/>
      <c r="C47" s="210" t="s">
        <v>129</v>
      </c>
      <c r="D47" s="375">
        <v>1.92</v>
      </c>
      <c r="E47" s="375"/>
      <c r="F47" s="210" t="s">
        <v>208</v>
      </c>
      <c r="G47" s="369">
        <f>ROUND('1.ค่าวัสดุและดำเนินการ'!K14/1000,2)</f>
        <v>29.02</v>
      </c>
      <c r="H47" s="369"/>
      <c r="I47" s="202" t="s">
        <v>17</v>
      </c>
      <c r="J47" s="202"/>
      <c r="K47" s="202"/>
      <c r="L47" s="202"/>
      <c r="M47" s="202"/>
      <c r="N47" s="210" t="s">
        <v>75</v>
      </c>
      <c r="O47" s="211">
        <f t="shared" si="3"/>
        <v>55.72</v>
      </c>
      <c r="P47" s="210" t="s">
        <v>17</v>
      </c>
    </row>
    <row r="48" spans="1:16" ht="23.4">
      <c r="A48" s="202" t="s">
        <v>210</v>
      </c>
      <c r="B48" s="202"/>
      <c r="C48" s="210" t="s">
        <v>129</v>
      </c>
      <c r="D48" s="377">
        <f>ROUNDDOWN(((D46+D47)/1000)*25,2)</f>
        <v>7.0000000000000007E-2</v>
      </c>
      <c r="E48" s="377"/>
      <c r="F48" s="210" t="s">
        <v>208</v>
      </c>
      <c r="G48" s="369">
        <f>ROUND('1.ค่าวัสดุและดำเนินการ'!K18,2)</f>
        <v>46.1</v>
      </c>
      <c r="H48" s="369"/>
      <c r="I48" s="202" t="s">
        <v>17</v>
      </c>
      <c r="J48" s="202"/>
      <c r="K48" s="202"/>
      <c r="L48" s="202"/>
      <c r="M48" s="202"/>
      <c r="N48" s="210" t="s">
        <v>75</v>
      </c>
      <c r="O48" s="211">
        <f t="shared" si="3"/>
        <v>3.23</v>
      </c>
      <c r="P48" s="210" t="s">
        <v>17</v>
      </c>
    </row>
    <row r="49" spans="1:16" ht="23.4">
      <c r="A49" s="202" t="s">
        <v>363</v>
      </c>
      <c r="B49" s="202"/>
      <c r="C49" s="210" t="s">
        <v>129</v>
      </c>
      <c r="D49" s="375">
        <v>0.27</v>
      </c>
      <c r="E49" s="375"/>
      <c r="F49" s="210" t="s">
        <v>386</v>
      </c>
      <c r="G49" s="321">
        <f>ROUND(แบบหล่อคอนกรีต!G24,2)</f>
        <v>416</v>
      </c>
      <c r="H49" s="321"/>
      <c r="I49" s="202" t="s">
        <v>17</v>
      </c>
      <c r="J49" s="202"/>
      <c r="K49" s="202"/>
      <c r="L49" s="202"/>
      <c r="M49" s="202"/>
      <c r="N49" s="210" t="s">
        <v>75</v>
      </c>
      <c r="O49" s="211">
        <f t="shared" si="3"/>
        <v>112.32</v>
      </c>
      <c r="P49" s="210" t="s">
        <v>17</v>
      </c>
    </row>
    <row r="50" spans="1:16" ht="23.4">
      <c r="A50" s="202" t="s">
        <v>362</v>
      </c>
      <c r="B50" s="202"/>
      <c r="C50" s="210" t="s">
        <v>129</v>
      </c>
      <c r="D50" s="375">
        <v>2.46</v>
      </c>
      <c r="E50" s="375"/>
      <c r="F50" s="210" t="s">
        <v>208</v>
      </c>
      <c r="G50" s="321">
        <f>ROUND('1.ค่าวัสดุและดำเนินการ'!K30/18.362,2)</f>
        <v>26.51</v>
      </c>
      <c r="H50" s="321"/>
      <c r="I50" s="202" t="s">
        <v>17</v>
      </c>
      <c r="J50" s="202"/>
      <c r="K50" s="202"/>
      <c r="L50" s="202"/>
      <c r="M50" s="202"/>
      <c r="N50" s="210" t="s">
        <v>75</v>
      </c>
      <c r="O50" s="211">
        <f t="shared" si="3"/>
        <v>65.209999999999994</v>
      </c>
      <c r="P50" s="210" t="s">
        <v>17</v>
      </c>
    </row>
    <row r="51" spans="1:16" ht="23.4">
      <c r="A51" s="202" t="s">
        <v>384</v>
      </c>
      <c r="B51" s="202"/>
      <c r="C51" s="210" t="s">
        <v>129</v>
      </c>
      <c r="D51" s="375">
        <v>0.04</v>
      </c>
      <c r="E51" s="375"/>
      <c r="F51" s="210" t="s">
        <v>385</v>
      </c>
      <c r="G51" s="321">
        <f>ROUND('1.ค่าวัสดุและดำเนินการ'!K33,2)</f>
        <v>109.66</v>
      </c>
      <c r="H51" s="321"/>
      <c r="I51" s="202" t="s">
        <v>17</v>
      </c>
      <c r="J51" s="202"/>
      <c r="K51" s="202"/>
      <c r="L51" s="202"/>
      <c r="M51" s="202"/>
      <c r="N51" s="210" t="s">
        <v>75</v>
      </c>
      <c r="O51" s="211">
        <f>ROUND(D51*G51,2)</f>
        <v>4.3899999999999997</v>
      </c>
      <c r="P51" s="210" t="s">
        <v>17</v>
      </c>
    </row>
    <row r="52" spans="1:16" ht="23.4">
      <c r="A52" s="202" t="s">
        <v>79</v>
      </c>
      <c r="B52" s="202"/>
      <c r="C52" s="202"/>
      <c r="D52" s="213"/>
      <c r="E52" s="202"/>
      <c r="F52" s="202"/>
      <c r="G52" s="202"/>
      <c r="H52" s="202"/>
      <c r="I52" s="202"/>
      <c r="J52" s="202"/>
      <c r="K52" s="202"/>
      <c r="L52" s="202"/>
      <c r="M52" s="202"/>
      <c r="N52" s="210" t="s">
        <v>75</v>
      </c>
      <c r="O52" s="214">
        <f>ROUND((SUM(O45:O50)),2)</f>
        <v>340.82</v>
      </c>
      <c r="P52" s="210" t="s">
        <v>17</v>
      </c>
    </row>
    <row r="53" spans="1:16" ht="23.4">
      <c r="A53" s="212" t="s">
        <v>80</v>
      </c>
      <c r="B53" s="202"/>
      <c r="C53" s="210" t="s">
        <v>129</v>
      </c>
      <c r="D53" s="369">
        <f>O52</f>
        <v>340.82</v>
      </c>
      <c r="E53" s="369"/>
      <c r="F53" s="210" t="s">
        <v>88</v>
      </c>
      <c r="G53" s="376">
        <f>B44</f>
        <v>1</v>
      </c>
      <c r="H53" s="376"/>
      <c r="I53" s="264"/>
      <c r="J53" s="202"/>
      <c r="K53" s="202"/>
      <c r="L53" s="202"/>
      <c r="M53" s="202"/>
      <c r="N53" s="210" t="s">
        <v>75</v>
      </c>
      <c r="O53" s="265">
        <f>ROUND(D53/G53,2)</f>
        <v>340.82</v>
      </c>
      <c r="P53" s="210" t="s">
        <v>105</v>
      </c>
    </row>
    <row r="54" spans="1:16" ht="24" thickBot="1">
      <c r="M54" s="215" t="s">
        <v>168</v>
      </c>
      <c r="N54" s="210" t="s">
        <v>75</v>
      </c>
      <c r="O54" s="216">
        <f>ROUNDDOWN(O53,0)</f>
        <v>340</v>
      </c>
      <c r="P54" s="210" t="s">
        <v>105</v>
      </c>
    </row>
    <row r="55" spans="1:16" ht="16.2" thickTop="1"/>
  </sheetData>
  <mergeCells count="76">
    <mergeCell ref="D41:E41"/>
    <mergeCell ref="G41:H41"/>
    <mergeCell ref="D51:E51"/>
    <mergeCell ref="G51:H51"/>
    <mergeCell ref="D37:E37"/>
    <mergeCell ref="G37:H37"/>
    <mergeCell ref="D38:E38"/>
    <mergeCell ref="G38:H38"/>
    <mergeCell ref="D39:E39"/>
    <mergeCell ref="G39:H39"/>
    <mergeCell ref="D34:E34"/>
    <mergeCell ref="G34:H34"/>
    <mergeCell ref="D35:E35"/>
    <mergeCell ref="G35:H35"/>
    <mergeCell ref="D36:E36"/>
    <mergeCell ref="G36:H36"/>
    <mergeCell ref="D31:E31"/>
    <mergeCell ref="G31:H31"/>
    <mergeCell ref="D32:E32"/>
    <mergeCell ref="G32:H32"/>
    <mergeCell ref="D33:E33"/>
    <mergeCell ref="G33:H33"/>
    <mergeCell ref="D3:E3"/>
    <mergeCell ref="G3:H3"/>
    <mergeCell ref="D4:E4"/>
    <mergeCell ref="G4:H4"/>
    <mergeCell ref="D5:E5"/>
    <mergeCell ref="G5:H5"/>
    <mergeCell ref="D6:E6"/>
    <mergeCell ref="G6:H6"/>
    <mergeCell ref="D7:E7"/>
    <mergeCell ref="G7:H7"/>
    <mergeCell ref="D8:E8"/>
    <mergeCell ref="G8:H8"/>
    <mergeCell ref="D9:E9"/>
    <mergeCell ref="G9:H9"/>
    <mergeCell ref="D10:E10"/>
    <mergeCell ref="G10:H10"/>
    <mergeCell ref="D11:E11"/>
    <mergeCell ref="G11:H11"/>
    <mergeCell ref="D13:E13"/>
    <mergeCell ref="G13:H13"/>
    <mergeCell ref="D45:E45"/>
    <mergeCell ref="G45:H45"/>
    <mergeCell ref="D46:E46"/>
    <mergeCell ref="G46:H46"/>
    <mergeCell ref="D17:E17"/>
    <mergeCell ref="G17:H17"/>
    <mergeCell ref="D18:E18"/>
    <mergeCell ref="G18:H18"/>
    <mergeCell ref="D19:E19"/>
    <mergeCell ref="G19:H19"/>
    <mergeCell ref="D20:E20"/>
    <mergeCell ref="G20:H20"/>
    <mergeCell ref="D21:E21"/>
    <mergeCell ref="G21:H21"/>
    <mergeCell ref="D53:E53"/>
    <mergeCell ref="G53:H53"/>
    <mergeCell ref="D50:E50"/>
    <mergeCell ref="G50:H50"/>
    <mergeCell ref="D47:E47"/>
    <mergeCell ref="G47:H47"/>
    <mergeCell ref="D48:E48"/>
    <mergeCell ref="G48:H48"/>
    <mergeCell ref="D49:E49"/>
    <mergeCell ref="G49:H49"/>
    <mergeCell ref="D25:E25"/>
    <mergeCell ref="G25:H25"/>
    <mergeCell ref="D27:E27"/>
    <mergeCell ref="G27:H27"/>
    <mergeCell ref="D22:E22"/>
    <mergeCell ref="G22:H22"/>
    <mergeCell ref="D23:E23"/>
    <mergeCell ref="G23:H23"/>
    <mergeCell ref="D24:E24"/>
    <mergeCell ref="G24:H24"/>
  </mergeCells>
  <printOptions horizontalCentered="1"/>
  <pageMargins left="0.59055118110236227" right="0.19685039370078741" top="0.59055118110236227" bottom="0.19685039370078741" header="0.31496062992125984" footer="0.31496062992125984"/>
  <pageSetup paperSize="9" scale="85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16E95-AD55-4830-906F-012FFC0BFE1D}">
  <sheetPr>
    <tabColor rgb="FFFF0000"/>
  </sheetPr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53"/>
  <sheetViews>
    <sheetView view="pageBreakPreview" topLeftCell="A9" zoomScaleNormal="120" zoomScaleSheetLayoutView="100" workbookViewId="0">
      <selection activeCell="P19" sqref="P19"/>
    </sheetView>
  </sheetViews>
  <sheetFormatPr defaultColWidth="9" defaultRowHeight="23.4"/>
  <cols>
    <col min="1" max="1" width="5.33203125" style="27" customWidth="1"/>
    <col min="2" max="2" width="9" style="27"/>
    <col min="3" max="3" width="14.88671875" style="27" customWidth="1"/>
    <col min="4" max="4" width="8.44140625" style="27" customWidth="1"/>
    <col min="5" max="5" width="9.77734375" style="27" customWidth="1"/>
    <col min="6" max="6" width="7.88671875" style="27" customWidth="1"/>
    <col min="7" max="7" width="8.77734375" style="27" customWidth="1"/>
    <col min="8" max="8" width="4.77734375" style="27" customWidth="1"/>
    <col min="9" max="9" width="4.21875" style="27" customWidth="1"/>
    <col min="10" max="10" width="5.6640625" style="27" customWidth="1"/>
    <col min="11" max="11" width="4.88671875" style="27" customWidth="1"/>
    <col min="12" max="12" width="7.109375" style="27" customWidth="1"/>
    <col min="13" max="13" width="10.6640625" style="27" customWidth="1"/>
    <col min="14" max="14" width="16.77734375" style="27" customWidth="1"/>
    <col min="15" max="15" width="9" style="27"/>
    <col min="16" max="16" width="12.21875" style="27" bestFit="1" customWidth="1"/>
    <col min="17" max="16384" width="9" style="27"/>
  </cols>
  <sheetData>
    <row r="1" spans="1:17">
      <c r="A1" s="379" t="s">
        <v>233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</row>
    <row r="2" spans="1:17">
      <c r="A2" s="28" t="str">
        <f>'1.ค่าวัสดุและดำเนินการ'!A2</f>
        <v>ส่วนราชการ  :</v>
      </c>
    </row>
    <row r="3" spans="1:17">
      <c r="A3" s="27" t="str">
        <f>'1.ค่าวัสดุและดำเนินการ'!A3</f>
        <v xml:space="preserve">โครงการ      : </v>
      </c>
    </row>
    <row r="4" spans="1:17">
      <c r="A4" s="27" t="str">
        <f>'1.ค่าวัสดุและดำเนินการ'!A5</f>
        <v>ปริมาณงาน   :</v>
      </c>
    </row>
    <row r="5" spans="1:17">
      <c r="A5" s="27" t="str">
        <f>'1.ค่าวัสดุและดำเนินการ'!A6</f>
        <v xml:space="preserve">ที่ตั้งโครงการ : </v>
      </c>
      <c r="G5" s="27" t="s">
        <v>236</v>
      </c>
    </row>
    <row r="6" spans="1:17">
      <c r="A6" s="27" t="str">
        <f>'1.ค่าวัสดุและดำเนินการ'!A8</f>
        <v>ภาษีมูลค่าเพิ่ม     7  %</v>
      </c>
      <c r="G6" s="27" t="str">
        <f>'1.ค่าวัสดุและดำเนินการ'!F7</f>
        <v>อัตราดอกเบี้ยเงินกู้ (MLR)   7 %</v>
      </c>
    </row>
    <row r="7" spans="1:17">
      <c r="A7" s="27" t="str">
        <f>'1.ค่าวัสดุและดำเนินการ'!J7</f>
        <v>เงินประกันผลงานหัก        0 %</v>
      </c>
      <c r="G7" s="27" t="str">
        <f>'1.ค่าวัสดุและดำเนินการ'!F8</f>
        <v>เขตฝนตกปกติ   ราคาน้ำมันโซล่าเฉลี่ยที่อำเภอเมือง  32.63  (32.00 - 32.99)   บาท/ลิตร</v>
      </c>
    </row>
    <row r="8" spans="1:17">
      <c r="A8" s="27" t="s">
        <v>234</v>
      </c>
      <c r="G8" s="27" t="s">
        <v>235</v>
      </c>
    </row>
    <row r="9" spans="1:17">
      <c r="A9" s="399" t="s">
        <v>21</v>
      </c>
      <c r="B9" s="401" t="s">
        <v>0</v>
      </c>
      <c r="C9" s="401"/>
      <c r="D9" s="401"/>
      <c r="E9" s="402"/>
      <c r="F9" s="399" t="s">
        <v>1</v>
      </c>
      <c r="G9" s="405" t="s">
        <v>22</v>
      </c>
      <c r="H9" s="397" t="s">
        <v>62</v>
      </c>
      <c r="I9" s="398"/>
      <c r="J9" s="397" t="s">
        <v>23</v>
      </c>
      <c r="K9" s="398"/>
      <c r="L9" s="386" t="s">
        <v>24</v>
      </c>
      <c r="M9" s="29" t="s">
        <v>25</v>
      </c>
      <c r="N9" s="386" t="s">
        <v>71</v>
      </c>
    </row>
    <row r="10" spans="1:17">
      <c r="A10" s="400"/>
      <c r="B10" s="403"/>
      <c r="C10" s="403"/>
      <c r="D10" s="403"/>
      <c r="E10" s="404"/>
      <c r="F10" s="400"/>
      <c r="G10" s="406"/>
      <c r="H10" s="388" t="s">
        <v>63</v>
      </c>
      <c r="I10" s="389"/>
      <c r="J10" s="388"/>
      <c r="K10" s="389"/>
      <c r="L10" s="387"/>
      <c r="M10" s="30" t="s">
        <v>26</v>
      </c>
      <c r="N10" s="387"/>
    </row>
    <row r="11" spans="1:17">
      <c r="A11" s="31">
        <v>1</v>
      </c>
      <c r="B11" s="32" t="s">
        <v>176</v>
      </c>
      <c r="C11" s="33"/>
      <c r="D11" s="34"/>
      <c r="E11" s="35"/>
      <c r="F11" s="36"/>
      <c r="G11" s="37"/>
      <c r="H11" s="38"/>
      <c r="I11" s="39"/>
      <c r="J11" s="393"/>
      <c r="K11" s="394"/>
      <c r="L11" s="40"/>
      <c r="M11" s="40"/>
      <c r="N11" s="41"/>
    </row>
    <row r="12" spans="1:17">
      <c r="A12" s="42"/>
      <c r="B12" s="43" t="s">
        <v>177</v>
      </c>
      <c r="C12" s="43"/>
      <c r="D12" s="44"/>
      <c r="E12" s="45"/>
      <c r="F12" s="42" t="s">
        <v>20</v>
      </c>
      <c r="G12" s="37"/>
      <c r="H12" s="395"/>
      <c r="I12" s="396"/>
      <c r="J12" s="395"/>
      <c r="K12" s="396"/>
      <c r="L12" s="48"/>
      <c r="M12" s="49"/>
      <c r="N12" s="40"/>
    </row>
    <row r="13" spans="1:17">
      <c r="A13" s="42"/>
      <c r="B13" s="43" t="s">
        <v>178</v>
      </c>
      <c r="C13" s="43"/>
      <c r="D13" s="44"/>
      <c r="E13" s="45"/>
      <c r="F13" s="42" t="s">
        <v>18</v>
      </c>
      <c r="G13" s="37"/>
      <c r="H13" s="395"/>
      <c r="I13" s="396"/>
      <c r="J13" s="395"/>
      <c r="K13" s="396"/>
      <c r="L13" s="48"/>
      <c r="M13" s="49"/>
      <c r="N13" s="40"/>
      <c r="Q13" s="50"/>
    </row>
    <row r="14" spans="1:17">
      <c r="A14" s="42"/>
      <c r="B14" s="43" t="s">
        <v>179</v>
      </c>
      <c r="C14" s="43"/>
      <c r="D14" s="44"/>
      <c r="E14" s="45"/>
      <c r="F14" s="42" t="s">
        <v>18</v>
      </c>
      <c r="G14" s="37"/>
      <c r="H14" s="395"/>
      <c r="I14" s="396"/>
      <c r="J14" s="395"/>
      <c r="K14" s="396"/>
      <c r="L14" s="48"/>
      <c r="M14" s="49"/>
      <c r="N14" s="40"/>
    </row>
    <row r="15" spans="1:17">
      <c r="A15" s="42">
        <v>2</v>
      </c>
      <c r="B15" s="51" t="s">
        <v>181</v>
      </c>
      <c r="C15" s="43"/>
      <c r="D15" s="44"/>
      <c r="E15" s="45"/>
      <c r="F15" s="36"/>
      <c r="G15" s="52"/>
      <c r="H15" s="49"/>
      <c r="I15" s="53"/>
      <c r="J15" s="395"/>
      <c r="K15" s="396"/>
      <c r="L15" s="48"/>
      <c r="M15" s="49"/>
      <c r="N15" s="40"/>
    </row>
    <row r="16" spans="1:17">
      <c r="A16" s="42"/>
      <c r="B16" s="43" t="s">
        <v>180</v>
      </c>
      <c r="C16" s="43"/>
      <c r="D16" s="44"/>
      <c r="E16" s="45" t="s">
        <v>232</v>
      </c>
      <c r="F16" s="42" t="s">
        <v>18</v>
      </c>
      <c r="G16" s="37"/>
      <c r="H16" s="395"/>
      <c r="I16" s="396"/>
      <c r="J16" s="395"/>
      <c r="K16" s="396"/>
      <c r="L16" s="48"/>
      <c r="M16" s="49"/>
      <c r="N16" s="40"/>
    </row>
    <row r="17" spans="1:16">
      <c r="A17" s="42">
        <v>3</v>
      </c>
      <c r="B17" s="51" t="s">
        <v>182</v>
      </c>
      <c r="C17" s="43"/>
      <c r="D17" s="44"/>
      <c r="E17" s="45"/>
      <c r="F17" s="36"/>
      <c r="G17" s="52"/>
      <c r="H17" s="46"/>
      <c r="I17" s="47"/>
      <c r="J17" s="46"/>
      <c r="K17" s="47"/>
      <c r="L17" s="48"/>
      <c r="M17" s="49"/>
      <c r="N17" s="40"/>
    </row>
    <row r="18" spans="1:16">
      <c r="A18" s="42"/>
      <c r="B18" s="43" t="s">
        <v>183</v>
      </c>
      <c r="C18" s="43"/>
      <c r="D18" s="44"/>
      <c r="E18" s="45"/>
      <c r="F18" s="42" t="s">
        <v>20</v>
      </c>
      <c r="G18" s="37"/>
      <c r="H18" s="395"/>
      <c r="I18" s="396"/>
      <c r="J18" s="395"/>
      <c r="K18" s="396"/>
      <c r="L18" s="48"/>
      <c r="M18" s="49"/>
      <c r="N18" s="40"/>
    </row>
    <row r="19" spans="1:16">
      <c r="A19" s="42"/>
      <c r="B19" s="43" t="s">
        <v>184</v>
      </c>
      <c r="C19" s="43"/>
      <c r="D19" s="44"/>
      <c r="E19" s="45"/>
      <c r="F19" s="42" t="s">
        <v>31</v>
      </c>
      <c r="G19" s="37"/>
      <c r="H19" s="395"/>
      <c r="I19" s="396"/>
      <c r="J19" s="395"/>
      <c r="K19" s="396"/>
      <c r="L19" s="48"/>
      <c r="M19" s="49"/>
      <c r="N19" s="40"/>
    </row>
    <row r="20" spans="1:16">
      <c r="A20" s="42"/>
      <c r="B20" s="43" t="s">
        <v>185</v>
      </c>
      <c r="C20" s="43"/>
      <c r="D20" s="44"/>
      <c r="E20" s="45"/>
      <c r="F20" s="42" t="s">
        <v>31</v>
      </c>
      <c r="G20" s="37"/>
      <c r="H20" s="395"/>
      <c r="I20" s="396"/>
      <c r="J20" s="395"/>
      <c r="K20" s="396"/>
      <c r="L20" s="48"/>
      <c r="M20" s="49"/>
      <c r="N20" s="40"/>
    </row>
    <row r="21" spans="1:16">
      <c r="A21" s="42"/>
      <c r="B21" s="43" t="s">
        <v>186</v>
      </c>
      <c r="C21" s="43"/>
      <c r="D21" s="44"/>
      <c r="E21" s="45"/>
      <c r="F21" s="42" t="s">
        <v>31</v>
      </c>
      <c r="G21" s="37"/>
      <c r="H21" s="395"/>
      <c r="I21" s="396"/>
      <c r="J21" s="395"/>
      <c r="K21" s="396"/>
      <c r="L21" s="48"/>
      <c r="M21" s="49"/>
      <c r="N21" s="40"/>
    </row>
    <row r="22" spans="1:16">
      <c r="A22" s="42">
        <v>4</v>
      </c>
      <c r="B22" s="51" t="s">
        <v>187</v>
      </c>
      <c r="C22" s="43"/>
      <c r="D22" s="44"/>
      <c r="E22" s="45"/>
      <c r="F22" s="36"/>
      <c r="G22" s="52"/>
      <c r="H22" s="46"/>
      <c r="I22" s="47"/>
      <c r="J22" s="46"/>
      <c r="K22" s="47"/>
      <c r="L22" s="48"/>
      <c r="M22" s="49"/>
      <c r="N22" s="40"/>
    </row>
    <row r="23" spans="1:16">
      <c r="A23" s="42"/>
      <c r="B23" s="43" t="s">
        <v>188</v>
      </c>
      <c r="C23" s="43"/>
      <c r="D23" s="44"/>
      <c r="E23" s="45"/>
      <c r="F23" s="42" t="s">
        <v>18</v>
      </c>
      <c r="G23" s="37"/>
      <c r="H23" s="395"/>
      <c r="I23" s="396"/>
      <c r="J23" s="395"/>
      <c r="K23" s="396"/>
      <c r="L23" s="48"/>
      <c r="M23" s="49"/>
      <c r="N23" s="40"/>
      <c r="P23" s="54"/>
    </row>
    <row r="24" spans="1:16">
      <c r="A24" s="55"/>
      <c r="B24" s="56"/>
      <c r="C24" s="56"/>
      <c r="D24" s="57"/>
      <c r="E24" s="58"/>
      <c r="F24" s="59"/>
      <c r="G24" s="60"/>
      <c r="H24" s="61"/>
      <c r="I24" s="62"/>
      <c r="J24" s="61"/>
      <c r="K24" s="62"/>
      <c r="L24" s="63"/>
      <c r="M24" s="64"/>
      <c r="N24" s="40"/>
    </row>
    <row r="25" spans="1:16">
      <c r="A25" s="65"/>
      <c r="B25" s="65"/>
      <c r="C25" s="66"/>
      <c r="D25" s="67"/>
      <c r="E25" s="67"/>
      <c r="F25" s="65"/>
      <c r="G25" s="68"/>
      <c r="H25" s="68"/>
      <c r="I25" s="65"/>
      <c r="J25" s="65"/>
      <c r="K25" s="69"/>
      <c r="L25" s="65"/>
      <c r="M25" s="66" t="s">
        <v>224</v>
      </c>
      <c r="N25" s="70"/>
    </row>
    <row r="26" spans="1:16">
      <c r="A26" s="399" t="s">
        <v>21</v>
      </c>
      <c r="B26" s="401" t="s">
        <v>0</v>
      </c>
      <c r="C26" s="401"/>
      <c r="D26" s="401"/>
      <c r="E26" s="402"/>
      <c r="F26" s="399" t="s">
        <v>1</v>
      </c>
      <c r="G26" s="405" t="s">
        <v>22</v>
      </c>
      <c r="H26" s="397" t="s">
        <v>62</v>
      </c>
      <c r="I26" s="398"/>
      <c r="J26" s="397" t="s">
        <v>23</v>
      </c>
      <c r="K26" s="398"/>
      <c r="L26" s="386" t="s">
        <v>24</v>
      </c>
      <c r="M26" s="29" t="s">
        <v>25</v>
      </c>
      <c r="N26" s="386" t="s">
        <v>71</v>
      </c>
    </row>
    <row r="27" spans="1:16">
      <c r="A27" s="400"/>
      <c r="B27" s="403"/>
      <c r="C27" s="403"/>
      <c r="D27" s="403"/>
      <c r="E27" s="404"/>
      <c r="F27" s="400"/>
      <c r="G27" s="406"/>
      <c r="H27" s="388" t="s">
        <v>63</v>
      </c>
      <c r="I27" s="389"/>
      <c r="J27" s="388"/>
      <c r="K27" s="389"/>
      <c r="L27" s="387"/>
      <c r="M27" s="30" t="s">
        <v>26</v>
      </c>
      <c r="N27" s="387"/>
    </row>
    <row r="28" spans="1:16">
      <c r="A28" s="31"/>
      <c r="B28" s="390" t="s">
        <v>225</v>
      </c>
      <c r="C28" s="391"/>
      <c r="D28" s="391"/>
      <c r="E28" s="392"/>
      <c r="F28" s="36"/>
      <c r="G28" s="37"/>
      <c r="H28" s="38"/>
      <c r="I28" s="39"/>
      <c r="J28" s="393"/>
      <c r="K28" s="394"/>
      <c r="L28" s="40"/>
      <c r="M28" s="40"/>
      <c r="N28" s="71"/>
    </row>
    <row r="29" spans="1:16">
      <c r="A29" s="42">
        <v>5</v>
      </c>
      <c r="B29" s="51" t="s">
        <v>218</v>
      </c>
      <c r="C29" s="43"/>
      <c r="D29" s="44"/>
      <c r="E29" s="45"/>
      <c r="F29" s="36"/>
      <c r="G29" s="52"/>
      <c r="H29" s="46"/>
      <c r="I29" s="47"/>
      <c r="J29" s="46"/>
      <c r="K29" s="47"/>
      <c r="L29" s="48"/>
      <c r="M29" s="49"/>
      <c r="N29" s="40"/>
    </row>
    <row r="30" spans="1:16">
      <c r="A30" s="42"/>
      <c r="B30" s="43" t="s">
        <v>217</v>
      </c>
      <c r="C30" s="43"/>
      <c r="D30" s="44"/>
      <c r="E30" s="45"/>
      <c r="F30" s="42" t="s">
        <v>31</v>
      </c>
      <c r="G30" s="37"/>
      <c r="H30" s="395"/>
      <c r="I30" s="396"/>
      <c r="J30" s="395"/>
      <c r="K30" s="396"/>
      <c r="L30" s="48"/>
      <c r="M30" s="49"/>
      <c r="N30" s="40"/>
    </row>
    <row r="31" spans="1:16">
      <c r="A31" s="42"/>
      <c r="B31" s="43" t="s">
        <v>219</v>
      </c>
      <c r="C31" s="43"/>
      <c r="D31" s="44"/>
      <c r="E31" s="45"/>
      <c r="F31" s="42" t="s">
        <v>216</v>
      </c>
      <c r="G31" s="37"/>
      <c r="H31" s="395"/>
      <c r="I31" s="396"/>
      <c r="J31" s="395"/>
      <c r="K31" s="396"/>
      <c r="L31" s="48"/>
      <c r="M31" s="49"/>
      <c r="N31" s="40"/>
    </row>
    <row r="32" spans="1:16">
      <c r="A32" s="42">
        <v>6</v>
      </c>
      <c r="B32" s="51" t="s">
        <v>220</v>
      </c>
      <c r="C32" s="43"/>
      <c r="D32" s="44"/>
      <c r="E32" s="45"/>
      <c r="F32" s="36"/>
      <c r="G32" s="52"/>
      <c r="H32" s="46"/>
      <c r="I32" s="47"/>
      <c r="J32" s="46"/>
      <c r="K32" s="47"/>
      <c r="L32" s="48"/>
      <c r="M32" s="49"/>
      <c r="N32" s="40"/>
    </row>
    <row r="33" spans="1:16">
      <c r="A33" s="42"/>
      <c r="B33" s="43" t="s">
        <v>221</v>
      </c>
      <c r="C33" s="43"/>
      <c r="D33" s="44"/>
      <c r="E33" s="45"/>
      <c r="F33" s="42" t="s">
        <v>161</v>
      </c>
      <c r="G33" s="37"/>
      <c r="H33" s="395"/>
      <c r="I33" s="396"/>
      <c r="J33" s="395"/>
      <c r="K33" s="396"/>
      <c r="L33" s="48"/>
      <c r="M33" s="49"/>
      <c r="N33" s="40"/>
    </row>
    <row r="34" spans="1:16">
      <c r="A34" s="55">
        <v>7</v>
      </c>
      <c r="B34" s="56" t="s">
        <v>70</v>
      </c>
      <c r="C34" s="56"/>
      <c r="D34" s="57"/>
      <c r="E34" s="58"/>
      <c r="F34" s="59"/>
      <c r="G34" s="60"/>
      <c r="H34" s="61"/>
      <c r="I34" s="62"/>
      <c r="J34" s="61"/>
      <c r="K34" s="62"/>
      <c r="L34" s="63"/>
      <c r="M34" s="64"/>
      <c r="N34" s="40"/>
    </row>
    <row r="35" spans="1:16">
      <c r="A35" s="65"/>
      <c r="B35" s="65"/>
      <c r="C35" s="66"/>
      <c r="D35" s="67"/>
      <c r="E35" s="67"/>
      <c r="F35" s="65"/>
      <c r="G35" s="68"/>
      <c r="H35" s="68"/>
      <c r="I35" s="65"/>
      <c r="J35" s="65"/>
      <c r="K35" s="69"/>
      <c r="L35" s="65"/>
      <c r="M35" s="66" t="s">
        <v>189</v>
      </c>
      <c r="N35" s="70"/>
    </row>
    <row r="36" spans="1:16" ht="24" thickBot="1">
      <c r="A36" s="65"/>
      <c r="B36" s="65"/>
      <c r="C36" s="66"/>
      <c r="D36" s="67"/>
      <c r="E36" s="67"/>
      <c r="F36" s="65"/>
      <c r="G36" s="68"/>
      <c r="H36" s="68"/>
      <c r="I36" s="65"/>
      <c r="J36" s="65"/>
      <c r="K36" s="69"/>
      <c r="L36" s="65"/>
      <c r="M36" s="66" t="s">
        <v>226</v>
      </c>
      <c r="N36" s="72"/>
    </row>
    <row r="37" spans="1:16" ht="24.6" thickTop="1" thickBot="1">
      <c r="A37" s="65"/>
      <c r="B37" s="67" t="s">
        <v>27</v>
      </c>
      <c r="C37" s="66"/>
      <c r="D37" s="67"/>
      <c r="E37" s="67"/>
      <c r="H37" s="68"/>
      <c r="I37" s="65"/>
      <c r="J37" s="383"/>
      <c r="K37" s="384"/>
      <c r="L37" s="385"/>
      <c r="M37" s="74"/>
      <c r="N37" s="75"/>
      <c r="P37" s="76">
        <f>J37*J40</f>
        <v>0</v>
      </c>
    </row>
    <row r="38" spans="1:16" ht="24" thickBot="1">
      <c r="A38" s="65"/>
      <c r="B38" s="67" t="s">
        <v>28</v>
      </c>
      <c r="C38" s="66"/>
      <c r="D38" s="67"/>
      <c r="E38" s="67"/>
      <c r="H38" s="68"/>
      <c r="I38" s="65"/>
      <c r="J38" s="383"/>
      <c r="K38" s="384"/>
      <c r="L38" s="385"/>
      <c r="M38" s="74"/>
      <c r="N38" s="75"/>
    </row>
    <row r="39" spans="1:16" ht="24" thickBot="1">
      <c r="A39" s="65"/>
      <c r="B39" s="67"/>
      <c r="C39" s="66"/>
      <c r="D39" s="67"/>
      <c r="E39" s="67"/>
      <c r="H39" s="68"/>
      <c r="I39" s="65"/>
      <c r="J39" s="73"/>
      <c r="K39" s="73"/>
      <c r="L39" s="73"/>
      <c r="M39" s="74"/>
      <c r="N39" s="75"/>
    </row>
    <row r="40" spans="1:16" ht="24" thickBot="1">
      <c r="A40" s="65"/>
      <c r="B40" s="67" t="s">
        <v>29</v>
      </c>
      <c r="C40" s="66"/>
      <c r="D40" s="67"/>
      <c r="E40" s="67"/>
      <c r="H40" s="68"/>
      <c r="I40" s="65"/>
      <c r="J40" s="380"/>
      <c r="K40" s="381"/>
      <c r="L40" s="382"/>
      <c r="M40" s="74"/>
      <c r="N40" s="75"/>
    </row>
    <row r="41" spans="1:16" ht="24" thickBot="1">
      <c r="A41" s="65"/>
      <c r="B41" s="67" t="s">
        <v>30</v>
      </c>
      <c r="C41" s="66"/>
      <c r="D41" s="67"/>
      <c r="E41" s="67"/>
      <c r="H41" s="68"/>
      <c r="I41" s="65"/>
      <c r="J41" s="380"/>
      <c r="K41" s="381"/>
      <c r="L41" s="382"/>
      <c r="M41" s="74"/>
      <c r="N41" s="75"/>
    </row>
    <row r="42" spans="1:16">
      <c r="A42" s="65"/>
      <c r="B42" s="67"/>
      <c r="C42" s="66"/>
      <c r="D42" s="67"/>
      <c r="E42" s="67"/>
      <c r="H42" s="68"/>
      <c r="I42" s="65"/>
      <c r="J42" s="77"/>
      <c r="K42" s="77"/>
      <c r="L42" s="77"/>
      <c r="M42" s="74"/>
      <c r="N42" s="75"/>
    </row>
    <row r="44" spans="1:16">
      <c r="E44" s="378"/>
      <c r="F44" s="378"/>
      <c r="G44" s="378"/>
      <c r="H44" s="378"/>
      <c r="I44" s="378"/>
    </row>
    <row r="45" spans="1:16">
      <c r="E45" s="378"/>
      <c r="F45" s="378"/>
      <c r="G45" s="378"/>
      <c r="H45" s="378"/>
      <c r="I45" s="378"/>
    </row>
    <row r="47" spans="1:16">
      <c r="H47" s="27" t="s">
        <v>239</v>
      </c>
    </row>
    <row r="48" spans="1:16">
      <c r="B48" s="378"/>
      <c r="C48" s="379"/>
      <c r="D48" s="379"/>
      <c r="I48" s="378" t="s">
        <v>237</v>
      </c>
      <c r="J48" s="378"/>
      <c r="K48" s="378"/>
      <c r="L48" s="378"/>
    </row>
    <row r="49" spans="2:12">
      <c r="B49" s="378"/>
      <c r="C49" s="379"/>
      <c r="D49" s="379"/>
      <c r="I49" s="378" t="s">
        <v>238</v>
      </c>
      <c r="J49" s="378"/>
      <c r="K49" s="378"/>
      <c r="L49" s="378"/>
    </row>
    <row r="50" spans="2:12">
      <c r="B50" s="78"/>
      <c r="C50" s="26"/>
      <c r="D50" s="26"/>
      <c r="I50" s="78"/>
      <c r="J50" s="78"/>
      <c r="K50" s="78"/>
      <c r="L50" s="78"/>
    </row>
    <row r="52" spans="2:12">
      <c r="B52" s="78"/>
      <c r="C52" s="26"/>
      <c r="D52" s="26"/>
      <c r="I52" s="78"/>
      <c r="J52" s="78"/>
      <c r="K52" s="78"/>
      <c r="L52" s="78"/>
    </row>
    <row r="53" spans="2:12">
      <c r="B53" s="78"/>
      <c r="C53" s="26"/>
      <c r="D53" s="26"/>
      <c r="I53" s="78"/>
      <c r="J53" s="78"/>
      <c r="K53" s="78"/>
      <c r="L53" s="78"/>
    </row>
  </sheetData>
  <mergeCells count="57">
    <mergeCell ref="A1:N1"/>
    <mergeCell ref="A9:A10"/>
    <mergeCell ref="B9:E10"/>
    <mergeCell ref="F9:F10"/>
    <mergeCell ref="G9:G10"/>
    <mergeCell ref="H9:I9"/>
    <mergeCell ref="J9:K10"/>
    <mergeCell ref="L9:L10"/>
    <mergeCell ref="N9:N10"/>
    <mergeCell ref="H10:I10"/>
    <mergeCell ref="H19:I19"/>
    <mergeCell ref="J19:K19"/>
    <mergeCell ref="J11:K11"/>
    <mergeCell ref="H12:I12"/>
    <mergeCell ref="J12:K12"/>
    <mergeCell ref="H13:I13"/>
    <mergeCell ref="J13:K13"/>
    <mergeCell ref="H14:I14"/>
    <mergeCell ref="J14:K14"/>
    <mergeCell ref="J15:K15"/>
    <mergeCell ref="H16:I16"/>
    <mergeCell ref="J16:K16"/>
    <mergeCell ref="H18:I18"/>
    <mergeCell ref="J18:K18"/>
    <mergeCell ref="H20:I20"/>
    <mergeCell ref="J20:K20"/>
    <mergeCell ref="H21:I21"/>
    <mergeCell ref="J21:K21"/>
    <mergeCell ref="H23:I23"/>
    <mergeCell ref="J23:K23"/>
    <mergeCell ref="A26:A27"/>
    <mergeCell ref="B26:E27"/>
    <mergeCell ref="F26:F27"/>
    <mergeCell ref="G26:G27"/>
    <mergeCell ref="H26:I26"/>
    <mergeCell ref="J38:L38"/>
    <mergeCell ref="L26:L27"/>
    <mergeCell ref="N26:N27"/>
    <mergeCell ref="H27:I27"/>
    <mergeCell ref="B28:E28"/>
    <mergeCell ref="J28:K28"/>
    <mergeCell ref="H30:I30"/>
    <mergeCell ref="J30:K30"/>
    <mergeCell ref="J26:K27"/>
    <mergeCell ref="H31:I31"/>
    <mergeCell ref="J31:K31"/>
    <mergeCell ref="H33:I33"/>
    <mergeCell ref="J33:K33"/>
    <mergeCell ref="J37:L37"/>
    <mergeCell ref="B49:D49"/>
    <mergeCell ref="I49:L49"/>
    <mergeCell ref="J40:L40"/>
    <mergeCell ref="J41:L41"/>
    <mergeCell ref="E44:I44"/>
    <mergeCell ref="E45:I45"/>
    <mergeCell ref="B48:D48"/>
    <mergeCell ref="I48:L48"/>
  </mergeCells>
  <pageMargins left="0.39370078740157483" right="0" top="0.59055118110236227" bottom="0" header="0.31496062992125984" footer="0.31496062992125984"/>
  <pageSetup paperSize="9" scale="77" orientation="portrait" horizontalDpi="300" verticalDpi="300" r:id="rId1"/>
  <headerFooter>
    <oddHeader>&amp;Rหน้าที่ &amp;P / &amp;N</oddHeader>
  </headerFooter>
  <rowBreaks count="1" manualBreakCount="1">
    <brk id="25" max="13" man="1"/>
  </rowBreaks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13</vt:i4>
      </vt:variant>
      <vt:variant>
        <vt:lpstr>ช่วงที่มีชื่อ</vt:lpstr>
      </vt:variant>
      <vt:variant>
        <vt:i4>12</vt:i4>
      </vt:variant>
    </vt:vector>
  </HeadingPairs>
  <TitlesOfParts>
    <vt:vector size="25" baseType="lpstr">
      <vt:lpstr>1.ค่าวัสดุและดำเนินการ</vt:lpstr>
      <vt:lpstr>แบบสรุปราคากลาง</vt:lpstr>
      <vt:lpstr>2.ราคาต่อหน่วยผิวทาง</vt:lpstr>
      <vt:lpstr>F</vt:lpstr>
      <vt:lpstr>ท่อ</vt:lpstr>
      <vt:lpstr>แบบหล่อคอนกรีต</vt:lpstr>
      <vt:lpstr>คอนกรีต</vt:lpstr>
      <vt:lpstr>บ่อพักน้ำแบบ1</vt:lpstr>
      <vt:lpstr>บ่อพักน้ำ2</vt:lpstr>
      <vt:lpstr>สี</vt:lpstr>
      <vt:lpstr>ราง</vt:lpstr>
      <vt:lpstr>คอนกรีตรับท่อ</vt:lpstr>
      <vt:lpstr>เสนอแบบสรุป</vt:lpstr>
      <vt:lpstr>'1.ค่าวัสดุและดำเนินการ'!Print_Area</vt:lpstr>
      <vt:lpstr>'2.ราคาต่อหน่วยผิวทาง'!Print_Area</vt:lpstr>
      <vt:lpstr>คอนกรีต!Print_Area</vt:lpstr>
      <vt:lpstr>ท่อ!Print_Area</vt:lpstr>
      <vt:lpstr>บ่อพักน้ำ2!Print_Area</vt:lpstr>
      <vt:lpstr>บ่อพักน้ำแบบ1!Print_Area</vt:lpstr>
      <vt:lpstr>แบบสรุปราคากลาง!Print_Area</vt:lpstr>
      <vt:lpstr>แบบหล่อคอนกรีต!Print_Area</vt:lpstr>
      <vt:lpstr>สี!Print_Area</vt:lpstr>
      <vt:lpstr>เสนอแบบสรุป!Print_Area</vt:lpstr>
      <vt:lpstr>แบบสรุปราคากลาง!Print_Titles</vt:lpstr>
      <vt:lpstr>เสนอแบบสรุป!Print_Titles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pg-pc</dc:creator>
  <cp:lastModifiedBy>ASUS</cp:lastModifiedBy>
  <cp:lastPrinted>2025-07-08T08:51:31Z</cp:lastPrinted>
  <dcterms:created xsi:type="dcterms:W3CDTF">2017-05-01T02:16:56Z</dcterms:created>
  <dcterms:modified xsi:type="dcterms:W3CDTF">2025-07-08T08:55:58Z</dcterms:modified>
</cp:coreProperties>
</file>