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 2568\ราคากลาง\ถนน ค.ส.ล. บ้านค้างฮ่อ ม. 3\"/>
    </mc:Choice>
  </mc:AlternateContent>
  <xr:revisionPtr revIDLastSave="0" documentId="13_ncr:1_{205CFE14-12F4-4FB4-8B00-7998F2AFE0AD}" xr6:coauthVersionLast="47" xr6:coauthVersionMax="47" xr10:uidLastSave="{00000000-0000-0000-0000-000000000000}"/>
  <bookViews>
    <workbookView xWindow="-108" yWindow="-108" windowWidth="23256" windowHeight="12456" tabRatio="696" activeTab="1" xr2:uid="{00000000-000D-0000-FFFF-FFFF00000000}"/>
  </bookViews>
  <sheets>
    <sheet name="1.ค่าวัสดุและดำเนินการ" sheetId="1" r:id="rId1"/>
    <sheet name="แบบสรุปราคากลาง" sheetId="24" r:id="rId2"/>
    <sheet name="2.ราคาต่อหน่วยผิวทาง" sheetId="23" r:id="rId3"/>
    <sheet name="F" sheetId="28" state="hidden" r:id="rId4"/>
    <sheet name="ท่อ" sheetId="15" state="hidden" r:id="rId5"/>
    <sheet name="แบบหล่อคอนกรีต" sheetId="21" r:id="rId6"/>
    <sheet name="คอนกรีต" sheetId="18" state="hidden" r:id="rId7"/>
    <sheet name="บ่อพักน้ำแบบ1" sheetId="22" state="hidden" r:id="rId8"/>
    <sheet name="บ่อพักน้ำแบบ2" sheetId="27" state="hidden" r:id="rId9"/>
    <sheet name="สี" sheetId="26" state="hidden" r:id="rId10"/>
    <sheet name="ป้ายโครงการ" sheetId="29" r:id="rId11"/>
    <sheet name="เสนอแบบสรุป" sheetId="25" r:id="rId12"/>
  </sheets>
  <definedNames>
    <definedName name="_xlnm.Print_Area" localSheetId="0">'1.ค่าวัสดุและดำเนินการ'!$A$1:$L$64</definedName>
    <definedName name="_xlnm.Print_Area" localSheetId="2">'2.ราคาต่อหน่วยผิวทาง'!$A$1:$Q$101</definedName>
    <definedName name="_xlnm.Print_Area" localSheetId="6">คอนกรีต!$A$1:$J$35</definedName>
    <definedName name="_xlnm.Print_Area" localSheetId="4">ท่อ!$A$1:$O$27</definedName>
    <definedName name="_xlnm.Print_Area" localSheetId="7">บ่อพักน้ำแบบ1!$A$1:$Q$44</definedName>
    <definedName name="_xlnm.Print_Area" localSheetId="8">บ่อพักน้ำแบบ2!$A$1:$Q$33</definedName>
    <definedName name="_xlnm.Print_Area" localSheetId="1">แบบสรุปราคากลาง!$A$1:$N$54</definedName>
    <definedName name="_xlnm.Print_Area" localSheetId="5">แบบหล่อคอนกรีต!$A$1:$H$40</definedName>
    <definedName name="_xlnm.Print_Area" localSheetId="9">สี!$A$1:$G$47</definedName>
    <definedName name="_xlnm.Print_Area" localSheetId="11">เสนอแบบสรุป!$A$1:$N$53</definedName>
    <definedName name="_xlnm.Print_Titles" localSheetId="1">แบบสรุปราคากลาง!$1:$11</definedName>
    <definedName name="_xlnm.Print_Titles" localSheetId="11">เสนอแบบสรุป!$1:$8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24" l="1"/>
  <c r="B53" i="24"/>
  <c r="I50" i="24"/>
  <c r="I49" i="24"/>
  <c r="B50" i="24"/>
  <c r="B49" i="24"/>
  <c r="E46" i="24"/>
  <c r="E45" i="24"/>
  <c r="K34" i="1"/>
  <c r="L30" i="24"/>
  <c r="L32" i="24" l="1"/>
  <c r="L33" i="24"/>
  <c r="K43" i="1"/>
  <c r="E9" i="29" s="1"/>
  <c r="F9" i="29" s="1"/>
  <c r="I9" i="29" s="1"/>
  <c r="K42" i="1"/>
  <c r="E7" i="29" s="1"/>
  <c r="F7" i="29" s="1"/>
  <c r="K41" i="1"/>
  <c r="E6" i="29" s="1"/>
  <c r="F6" i="29" s="1"/>
  <c r="I6" i="29" s="1"/>
  <c r="K40" i="1"/>
  <c r="E5" i="29" s="1"/>
  <c r="F5" i="29" s="1"/>
  <c r="I5" i="29" s="1"/>
  <c r="H13" i="29"/>
  <c r="F13" i="29"/>
  <c r="I13" i="29" s="1"/>
  <c r="I12" i="29"/>
  <c r="H12" i="29"/>
  <c r="F12" i="29"/>
  <c r="H11" i="29"/>
  <c r="F11" i="29"/>
  <c r="I11" i="29" s="1"/>
  <c r="H10" i="29"/>
  <c r="F10" i="29"/>
  <c r="I10" i="29" s="1"/>
  <c r="H9" i="29"/>
  <c r="H8" i="29"/>
  <c r="F8" i="29"/>
  <c r="I8" i="29" s="1"/>
  <c r="H7" i="29"/>
  <c r="H6" i="29"/>
  <c r="H5" i="29"/>
  <c r="T85" i="23"/>
  <c r="E75" i="23"/>
  <c r="T73" i="23"/>
  <c r="T72" i="23"/>
  <c r="U60" i="23"/>
  <c r="T59" i="23"/>
  <c r="U59" i="23"/>
  <c r="K26" i="1"/>
  <c r="I7" i="29" l="1"/>
  <c r="K39" i="1"/>
  <c r="K38" i="1"/>
  <c r="I15" i="15"/>
  <c r="N7" i="15"/>
  <c r="L29" i="24"/>
  <c r="D9" i="28"/>
  <c r="I14" i="29" l="1"/>
  <c r="H33" i="24" s="1"/>
  <c r="T94" i="23"/>
  <c r="T60" i="23"/>
  <c r="G19" i="24"/>
  <c r="P9" i="24"/>
  <c r="J33" i="24" l="1"/>
  <c r="N33" i="24" s="1"/>
  <c r="M33" i="24"/>
  <c r="H64" i="23"/>
  <c r="K25" i="1" l="1"/>
  <c r="I87" i="23"/>
  <c r="C6" i="24" l="1"/>
  <c r="C5" i="24"/>
  <c r="C4" i="24"/>
  <c r="C3" i="24"/>
  <c r="C2" i="24"/>
  <c r="G17" i="18"/>
  <c r="K37" i="1"/>
  <c r="K36" i="1"/>
  <c r="K35" i="1"/>
  <c r="K33" i="1"/>
  <c r="H29" i="24" s="1"/>
  <c r="J29" i="24" s="1"/>
  <c r="K32" i="1"/>
  <c r="K31" i="1"/>
  <c r="K30" i="1"/>
  <c r="K29" i="1"/>
  <c r="K28" i="1"/>
  <c r="K27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74" i="23" l="1"/>
  <c r="H30" i="24"/>
  <c r="C3" i="15"/>
  <c r="H32" i="24"/>
  <c r="L7" i="24"/>
  <c r="F7" i="24"/>
  <c r="F8" i="24"/>
  <c r="A8" i="24"/>
  <c r="A6" i="25" s="1"/>
  <c r="A7" i="24"/>
  <c r="M30" i="24" l="1"/>
  <c r="J30" i="24"/>
  <c r="N30" i="24" s="1"/>
  <c r="J32" i="24"/>
  <c r="N32" i="24" s="1"/>
  <c r="M32" i="24"/>
  <c r="E74" i="23"/>
  <c r="H17" i="27" l="1"/>
  <c r="E5" i="27" l="1"/>
  <c r="E8" i="27"/>
  <c r="P8" i="27" s="1"/>
  <c r="P9" i="27"/>
  <c r="P17" i="27"/>
  <c r="E18" i="27"/>
  <c r="P18" i="27" s="1"/>
  <c r="T84" i="23" l="1"/>
  <c r="E85" i="23" s="1"/>
  <c r="P9" i="22" l="1"/>
  <c r="E8" i="22"/>
  <c r="P8" i="22" s="1"/>
  <c r="E18" i="22"/>
  <c r="H17" i="22"/>
  <c r="F4" i="26"/>
  <c r="F3" i="26"/>
  <c r="F5" i="26" l="1"/>
  <c r="F7" i="26" s="1"/>
  <c r="E73" i="23"/>
  <c r="T95" i="23"/>
  <c r="H4" i="27"/>
  <c r="P4" i="27" s="1"/>
  <c r="H12" i="22" l="1"/>
  <c r="H12" i="27"/>
  <c r="P12" i="27" s="1"/>
  <c r="H19" i="27"/>
  <c r="P19" i="27" s="1"/>
  <c r="P20" i="27" s="1"/>
  <c r="P21" i="27" s="1"/>
  <c r="H19" i="22"/>
  <c r="P19" i="22" s="1"/>
  <c r="E62" i="23"/>
  <c r="E61" i="23"/>
  <c r="E63" i="23" s="1"/>
  <c r="H62" i="23"/>
  <c r="P62" i="23" s="1"/>
  <c r="H4" i="22"/>
  <c r="A5" i="24" l="1"/>
  <c r="E76" i="23" l="1"/>
  <c r="P53" i="23"/>
  <c r="P57" i="23" s="1"/>
  <c r="E39" i="23"/>
  <c r="P3" i="23"/>
  <c r="H100" i="23" l="1"/>
  <c r="E98" i="23"/>
  <c r="I98" i="23"/>
  <c r="E96" i="23"/>
  <c r="P96" i="23" s="1"/>
  <c r="E89" i="23"/>
  <c r="I89" i="23"/>
  <c r="H91" i="23"/>
  <c r="E79" i="23"/>
  <c r="E78" i="23"/>
  <c r="E77" i="23"/>
  <c r="I78" i="23"/>
  <c r="E86" i="23"/>
  <c r="P86" i="23" s="1"/>
  <c r="E87" i="23"/>
  <c r="P87" i="23" s="1"/>
  <c r="P78" i="23" l="1"/>
  <c r="P98" i="23"/>
  <c r="P89" i="23"/>
  <c r="E95" i="23"/>
  <c r="H81" i="23"/>
  <c r="P77" i="23"/>
  <c r="P38" i="23" l="1"/>
  <c r="P27" i="23"/>
  <c r="P28" i="23" s="1"/>
  <c r="P31" i="23"/>
  <c r="P32" i="23" s="1"/>
  <c r="P17" i="23"/>
  <c r="P18" i="23" s="1"/>
  <c r="P20" i="23" s="1"/>
  <c r="P21" i="23" s="1"/>
  <c r="H16" i="24" s="1"/>
  <c r="H13" i="24"/>
  <c r="J13" i="24" s="1"/>
  <c r="N13" i="24" l="1"/>
  <c r="P39" i="23"/>
  <c r="P42" i="23" s="1"/>
  <c r="P43" i="23" s="1"/>
  <c r="M13" i="24"/>
  <c r="A4" i="24" l="1"/>
  <c r="G7" i="25" l="1"/>
  <c r="G6" i="25"/>
  <c r="A7" i="25"/>
  <c r="H27" i="24" l="1"/>
  <c r="L27" i="24"/>
  <c r="L25" i="24"/>
  <c r="L24" i="24"/>
  <c r="M27" i="24" l="1"/>
  <c r="J27" i="24"/>
  <c r="N27" i="24" s="1"/>
  <c r="P64" i="23" l="1"/>
  <c r="H58" i="23"/>
  <c r="K54" i="23"/>
  <c r="P54" i="23" s="1"/>
  <c r="H5" i="27"/>
  <c r="P5" i="27" s="1"/>
  <c r="H7" i="22" l="1"/>
  <c r="P7" i="22" s="1"/>
  <c r="H7" i="27"/>
  <c r="P7" i="27" s="1"/>
  <c r="I85" i="23"/>
  <c r="P85" i="23" s="1"/>
  <c r="I73" i="23"/>
  <c r="P73" i="23" s="1"/>
  <c r="H63" i="23"/>
  <c r="P63" i="23" s="1"/>
  <c r="H5" i="22"/>
  <c r="H69" i="23"/>
  <c r="H67" i="23"/>
  <c r="P67" i="23" s="1"/>
  <c r="H65" i="23"/>
  <c r="P65" i="23" s="1"/>
  <c r="H66" i="23"/>
  <c r="P66" i="23" s="1"/>
  <c r="E58" i="23"/>
  <c r="P58" i="23" s="1"/>
  <c r="E59" i="23" l="1"/>
  <c r="J60" i="23"/>
  <c r="P60" i="23" s="1"/>
  <c r="A5" i="25" l="1"/>
  <c r="A4" i="25"/>
  <c r="A3" i="25"/>
  <c r="A2" i="25"/>
  <c r="P37" i="25" l="1"/>
  <c r="A6" i="24" l="1"/>
  <c r="A3" i="24"/>
  <c r="A2" i="24"/>
  <c r="L23" i="24"/>
  <c r="L21" i="24"/>
  <c r="L19" i="24"/>
  <c r="M16" i="24"/>
  <c r="J16" i="24"/>
  <c r="L15" i="24"/>
  <c r="M15" i="24" s="1"/>
  <c r="J15" i="24"/>
  <c r="N16" i="24" l="1"/>
  <c r="N15" i="24"/>
  <c r="E5" i="22"/>
  <c r="F19" i="18"/>
  <c r="G19" i="18"/>
  <c r="J19" i="18"/>
  <c r="I19" i="18"/>
  <c r="P74" i="23" l="1"/>
  <c r="I76" i="23" l="1"/>
  <c r="P76" i="23" s="1"/>
  <c r="I88" i="23"/>
  <c r="P88" i="23" s="1"/>
  <c r="P90" i="23" s="1"/>
  <c r="E91" i="23" s="1"/>
  <c r="I97" i="23"/>
  <c r="P97" i="23" s="1"/>
  <c r="I75" i="23"/>
  <c r="P75" i="23" s="1"/>
  <c r="P92" i="23" l="1"/>
  <c r="H24" i="24" s="1"/>
  <c r="P91" i="23"/>
  <c r="G7" i="21"/>
  <c r="D6" i="21"/>
  <c r="H61" i="23"/>
  <c r="P61" i="23" s="1"/>
  <c r="P18" i="22" l="1"/>
  <c r="P4" i="22"/>
  <c r="P5" i="22"/>
  <c r="G20" i="21" l="1"/>
  <c r="D19" i="21"/>
  <c r="E6" i="18" l="1"/>
  <c r="J6" i="18" s="1"/>
  <c r="H11" i="22" l="1"/>
  <c r="H11" i="27"/>
  <c r="P11" i="27" s="1"/>
  <c r="E56" i="23"/>
  <c r="P56" i="23" s="1"/>
  <c r="H59" i="23" s="1"/>
  <c r="H3" i="27"/>
  <c r="P3" i="27" s="1"/>
  <c r="H3" i="22"/>
  <c r="E8" i="18"/>
  <c r="J8" i="18" s="1"/>
  <c r="P12" i="22"/>
  <c r="G5" i="15"/>
  <c r="P6" i="23"/>
  <c r="P8" i="23" s="1"/>
  <c r="I95" i="23"/>
  <c r="P95" i="23" s="1"/>
  <c r="P99" i="23" s="1"/>
  <c r="E100" i="23" s="1"/>
  <c r="N3" i="15"/>
  <c r="H19" i="18"/>
  <c r="F16" i="21"/>
  <c r="G16" i="21" s="1"/>
  <c r="F3" i="21"/>
  <c r="G3" i="21" s="1"/>
  <c r="F18" i="21"/>
  <c r="G18" i="21" s="1"/>
  <c r="F5" i="21"/>
  <c r="G5" i="21" s="1"/>
  <c r="F17" i="21"/>
  <c r="G17" i="21" s="1"/>
  <c r="F4" i="21"/>
  <c r="G4" i="21" s="1"/>
  <c r="F19" i="21"/>
  <c r="G19" i="21" s="1"/>
  <c r="F6" i="21"/>
  <c r="G6" i="21" s="1"/>
  <c r="E7" i="18"/>
  <c r="J7" i="18" s="1"/>
  <c r="P59" i="23" l="1"/>
  <c r="P68" i="23" s="1"/>
  <c r="E69" i="23" s="1"/>
  <c r="P69" i="23" s="1"/>
  <c r="P70" i="23" s="1"/>
  <c r="E9" i="23"/>
  <c r="P100" i="23"/>
  <c r="P101" i="23"/>
  <c r="H25" i="24" s="1"/>
  <c r="J10" i="18"/>
  <c r="M17" i="24"/>
  <c r="J17" i="24"/>
  <c r="G21" i="21"/>
  <c r="G22" i="21" s="1"/>
  <c r="G24" i="21" s="1"/>
  <c r="I79" i="23" s="1"/>
  <c r="P79" i="23" s="1"/>
  <c r="P80" i="23" s="1"/>
  <c r="E81" i="23" s="1"/>
  <c r="P81" i="23" s="1"/>
  <c r="G8" i="21"/>
  <c r="G9" i="21" s="1"/>
  <c r="F6" i="18"/>
  <c r="G6" i="18"/>
  <c r="H6" i="18"/>
  <c r="I6" i="18"/>
  <c r="F7" i="18"/>
  <c r="G7" i="18"/>
  <c r="H7" i="18"/>
  <c r="I7" i="18"/>
  <c r="F8" i="18"/>
  <c r="G8" i="18"/>
  <c r="H8" i="18"/>
  <c r="I8" i="18"/>
  <c r="H21" i="24" l="1"/>
  <c r="J21" i="24" s="1"/>
  <c r="N21" i="24" s="1"/>
  <c r="G6" i="15"/>
  <c r="N6" i="15" s="1"/>
  <c r="H10" i="27"/>
  <c r="P10" i="27" s="1"/>
  <c r="P82" i="23"/>
  <c r="H23" i="24" s="1"/>
  <c r="P9" i="23"/>
  <c r="P11" i="23" s="1"/>
  <c r="P12" i="23" s="1"/>
  <c r="H19" i="24" s="1"/>
  <c r="H10" i="22"/>
  <c r="P10" i="22" s="1"/>
  <c r="N17" i="24"/>
  <c r="P11" i="22"/>
  <c r="P17" i="22"/>
  <c r="P20" i="22" s="1"/>
  <c r="P21" i="22" s="1"/>
  <c r="G11" i="21"/>
  <c r="H6" i="27" s="1"/>
  <c r="P6" i="27" s="1"/>
  <c r="P3" i="22"/>
  <c r="M21" i="24" l="1"/>
  <c r="M22" i="24"/>
  <c r="J22" i="24"/>
  <c r="N22" i="24" s="1"/>
  <c r="P13" i="27"/>
  <c r="P14" i="27" s="1"/>
  <c r="P23" i="27" s="1"/>
  <c r="N5" i="15"/>
  <c r="H6" i="22"/>
  <c r="P6" i="22" s="1"/>
  <c r="P13" i="22" s="1"/>
  <c r="P14" i="22" s="1"/>
  <c r="P23" i="22" s="1"/>
  <c r="J19" i="24"/>
  <c r="M19" i="24"/>
  <c r="L13" i="15"/>
  <c r="F15" i="15" s="1"/>
  <c r="N19" i="24" l="1"/>
  <c r="L15" i="15"/>
  <c r="N4" i="15" s="1"/>
  <c r="N2" i="15"/>
  <c r="N8" i="15" l="1"/>
  <c r="N9" i="15" s="1"/>
  <c r="M29" i="24" l="1"/>
  <c r="N29" i="24"/>
  <c r="J24" i="24"/>
  <c r="N24" i="24" s="1"/>
  <c r="M24" i="24"/>
  <c r="M25" i="24"/>
  <c r="J25" i="24"/>
  <c r="J23" i="24"/>
  <c r="M23" i="24"/>
  <c r="N25" i="24" l="1"/>
  <c r="J38" i="24"/>
  <c r="N23" i="24"/>
  <c r="N35" i="24" s="1"/>
  <c r="N36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P'G</author>
    <author>ASUS</author>
  </authors>
  <commentList>
    <comment ref="F21" authorId="0" shapeId="0" xr:uid="{9CEAC820-4070-47D1-A968-880D020D7F2F}">
      <text>
        <r>
          <rPr>
            <b/>
            <sz val="9"/>
            <color indexed="81"/>
            <rFont val="Tahoma"/>
            <charset val="222"/>
          </rPr>
          <t>P'G:</t>
        </r>
        <r>
          <rPr>
            <sz val="9"/>
            <color indexed="81"/>
            <rFont val="Tahoma"/>
            <charset val="222"/>
          </rPr>
          <t xml:space="preserve">
เฉลี่ย 1"กับ3/8"</t>
        </r>
      </text>
    </comment>
    <comment ref="H26" authorId="1" shapeId="0" xr:uid="{B86E2866-64BC-478F-B238-C9144D3B8DD5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131.32/35.3147</t>
        </r>
      </text>
    </comment>
    <comment ref="H27" authorId="1" shapeId="0" xr:uid="{0A0112F6-664F-4EDE-9866-8E71C6FAD8B7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131.32/35.3147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H15" authorId="0" shapeId="0" xr:uid="{B762311D-DCA2-4AAD-B075-FBEAC2BF24DC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G19" authorId="0" shapeId="0" xr:uid="{307A38E4-20B2-467D-8C0C-A1A9FED6C188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เผื่อการยุบตัวที่ราคาต่อหน่วยแล้ว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P'G</author>
    <author>pg-pc</author>
    <author>PK_computer</author>
    <author>ASUS</author>
  </authors>
  <commentList>
    <comment ref="P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P'G:</t>
        </r>
        <r>
          <rPr>
            <sz val="9"/>
            <color indexed="81"/>
            <rFont val="Tahoma"/>
            <family val="2"/>
          </rPr>
          <t xml:space="preserve">
ไม่มี(มาจากงานดินตัด)
</t>
        </r>
      </text>
    </comment>
    <comment ref="P2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P'G:</t>
        </r>
        <r>
          <rPr>
            <sz val="9"/>
            <color indexed="81"/>
            <rFont val="Tahoma"/>
            <family val="2"/>
          </rPr>
          <t xml:space="preserve">
ไม่มี(มาจากงานดินตัด)
</t>
        </r>
      </text>
    </comment>
    <comment ref="E2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P'G:</t>
        </r>
        <r>
          <rPr>
            <sz val="9"/>
            <color indexed="81"/>
            <rFont val="Tahoma"/>
            <family val="2"/>
          </rPr>
          <t xml:space="preserve">
ไม่มี(มาจากงานดินตัด)
</t>
        </r>
      </text>
    </comment>
    <comment ref="P2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P'G:</t>
        </r>
        <r>
          <rPr>
            <sz val="9"/>
            <color indexed="81"/>
            <rFont val="Tahoma"/>
            <family val="2"/>
          </rPr>
          <t xml:space="preserve">
ไม่มี(มาจากงานดินตัด)
</t>
        </r>
      </text>
    </comment>
    <comment ref="E3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P'G:</t>
        </r>
        <r>
          <rPr>
            <sz val="9"/>
            <color indexed="81"/>
            <rFont val="Tahoma"/>
            <family val="2"/>
          </rPr>
          <t xml:space="preserve">
ไม่มี(มาจากงานดินตัด)
</t>
        </r>
      </text>
    </comment>
    <comment ref="E55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H55" authorId="2" shapeId="0" xr:uid="{00000000-0006-0000-0200-000007000000}">
      <text>
        <r>
          <rPr>
            <b/>
            <sz val="9"/>
            <color indexed="81"/>
            <rFont val="Tahoma"/>
            <family val="2"/>
          </rPr>
          <t>PK_computer:</t>
        </r>
        <r>
          <rPr>
            <sz val="9"/>
            <color indexed="81"/>
            <rFont val="Tahoma"/>
            <family val="2"/>
          </rPr>
          <t xml:space="preserve">
น้อยกว่า 5,000 ลบ.ม.
ใช้ 5,000 ลบ.ม</t>
        </r>
      </text>
    </comment>
    <comment ref="G60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  <comment ref="E64" authorId="3" shapeId="0" xr:uid="{8BA4C7AA-8F2D-444D-ACD5-5DD89C9EB280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E65" authorId="3" shapeId="0" xr:uid="{22CDA5E9-A355-41D7-AF8E-A9C63057FE0C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E66" authorId="3" shapeId="0" xr:uid="{41D7DB47-ACD9-4562-90CC-68C841B2223A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E67" authorId="3" shapeId="0" xr:uid="{EB3CCD18-248F-464C-81DD-AF3C61EC4786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บัญชีค่าแรง/ดำเนินการ</t>
        </r>
      </text>
    </comment>
    <comment ref="I77" authorId="3" shapeId="0" xr:uid="{99ECB480-F2ED-496B-9A1D-6CA1AA8C38FB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I86" authorId="3" shapeId="0" xr:uid="{2FD5A592-E7A6-4DD8-98F5-236713CDC375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  <comment ref="I96" authorId="3" shapeId="0" xr:uid="{838C3488-2DE2-4236-98B8-F7F38C79D351}">
      <text>
        <r>
          <rPr>
            <b/>
            <sz val="9"/>
            <color indexed="81"/>
            <rFont val="Tahoma"/>
            <charset val="222"/>
          </rPr>
          <t>ASUS:</t>
        </r>
        <r>
          <rPr>
            <sz val="9"/>
            <color indexed="81"/>
            <rFont val="Tahoma"/>
            <charset val="222"/>
          </rPr>
          <t xml:space="preserve">
ตารางค่าดำเนินการและค่าเสื่อมราคา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pg-pc</author>
  </authors>
  <commentList>
    <comment ref="H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pg-pc</author>
  </authors>
  <commentList>
    <comment ref="H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pg-pc:</t>
        </r>
        <r>
          <rPr>
            <sz val="9"/>
            <color indexed="81"/>
            <rFont val="Tahoma"/>
            <family val="2"/>
          </rPr>
          <t xml:space="preserve">
ค่าดำเนินการ ค่าเสื่อมราคา
</t>
        </r>
      </text>
    </comment>
  </commentList>
</comments>
</file>

<file path=xl/sharedStrings.xml><?xml version="1.0" encoding="utf-8"?>
<sst xmlns="http://schemas.openxmlformats.org/spreadsheetml/2006/main" count="1077" uniqueCount="414">
  <si>
    <t>รายการ</t>
  </si>
  <si>
    <t>หน่วย</t>
  </si>
  <si>
    <t>(บาท)</t>
  </si>
  <si>
    <t>ระยะ</t>
  </si>
  <si>
    <t>ขนส่ง</t>
  </si>
  <si>
    <t>ค่า</t>
  </si>
  <si>
    <t>วัสดุ</t>
  </si>
  <si>
    <t>(กม.)</t>
  </si>
  <si>
    <t>ขึ้นลง</t>
  </si>
  <si>
    <t>ค่าขน</t>
  </si>
  <si>
    <t>ค่าตัด/</t>
  </si>
  <si>
    <t>ดัดเหล็ก</t>
  </si>
  <si>
    <t>รวม</t>
  </si>
  <si>
    <t>หมายเหตุ</t>
  </si>
  <si>
    <t>แบบสรุปข้อมูลวัสดุและค่าดำเนินการ</t>
  </si>
  <si>
    <t>เงินประกันผลงานหัก        0 %</t>
  </si>
  <si>
    <t>-</t>
  </si>
  <si>
    <t>บาท</t>
  </si>
  <si>
    <t>ลบ.ม.</t>
  </si>
  <si>
    <t>=</t>
  </si>
  <si>
    <t>ตร.ม.</t>
  </si>
  <si>
    <t>ลำดับ</t>
  </si>
  <si>
    <t>จำนวน</t>
  </si>
  <si>
    <t>ราคาทุน</t>
  </si>
  <si>
    <t>FN</t>
  </si>
  <si>
    <t xml:space="preserve">ราคาต่อหน่วย </t>
  </si>
  <si>
    <t>X   FN</t>
  </si>
  <si>
    <t>ผลรวมค่างานต้นทุนงานก่อสร้างทาง</t>
  </si>
  <si>
    <t>ผลรวมค่างานต้นทุนงานก่อสร้างสะพานและท่อเหลียม</t>
  </si>
  <si>
    <t>ค่า  Factor   F   งานก่อสร้างทาง</t>
  </si>
  <si>
    <t>ค่า  Factor   F   งานก่อสร้างสะพานและท่อเหลียม</t>
  </si>
  <si>
    <t>เมตร</t>
  </si>
  <si>
    <t>( นายชัยเดช  อภิวัฒน์สกุล )</t>
  </si>
  <si>
    <t>รองนายก อบต.ป่ากลาง</t>
  </si>
  <si>
    <t>( นายจิรวรรธ  ทรงเจริญกุล )</t>
  </si>
  <si>
    <t>เลขานุการนายก อบต.ป่ากลาง</t>
  </si>
  <si>
    <t>ปลัด อบต.ป่ากลาง</t>
  </si>
  <si>
    <t>( นายสุภาพ  ปัญญา )</t>
  </si>
  <si>
    <t>รองปลัด อบต.ป่ากลาง</t>
  </si>
  <si>
    <t>หัวหน้าสำนักปลัด</t>
  </si>
  <si>
    <t>( นายมนู  แสนคำแพ )</t>
  </si>
  <si>
    <t>นิติกร</t>
  </si>
  <si>
    <t>( นายอดิเรก  สุขลำใย )</t>
  </si>
  <si>
    <t>นักวิเคราะห์นโยบายและแผนฯ</t>
  </si>
  <si>
    <t>( นายทวีศักดิ์  กิตติยังกุล )</t>
  </si>
  <si>
    <t>เจ้าพนักงานป้องกันฯ</t>
  </si>
  <si>
    <t>( นางสาวอุมาพร  ธนะวัง )</t>
  </si>
  <si>
    <t>นักจัดการงานทั่วไป</t>
  </si>
  <si>
    <t>( สิบเอกประกิต  การุณยรัต )</t>
  </si>
  <si>
    <t>เจ้าพนักงานธุรการ</t>
  </si>
  <si>
    <t>ผู้อำนวยการกองคลัง</t>
  </si>
  <si>
    <t>( นายจตุรภูมิ  อิ่นแก้ว )</t>
  </si>
  <si>
    <t>นักวิชาการจัดเก็บรายได้</t>
  </si>
  <si>
    <t>( นางอังคณา  ชราชิต )</t>
  </si>
  <si>
    <t>ผู้อำนวยการกองช่าง</t>
  </si>
  <si>
    <t>( นายณัฐวัตร  สว่างเมฆฤทธิ์ )</t>
  </si>
  <si>
    <t>ผู้อำนวยกองการศึกษา</t>
  </si>
  <si>
    <t>( นางเกษสุรินทร์  พอใจ )</t>
  </si>
  <si>
    <t>นักพัฒนาชุมชน</t>
  </si>
  <si>
    <t>( นายสุรเดช   พรมมีเดช )</t>
  </si>
  <si>
    <t>นายช่างโยธา</t>
  </si>
  <si>
    <t>ราคา</t>
  </si>
  <si>
    <t>ต่อหน่วย</t>
  </si>
  <si>
    <t>ลงชื่อ...........................................................ประธานกรรมการกำหนดราคากลาง</t>
  </si>
  <si>
    <t xml:space="preserve">ที่ </t>
  </si>
  <si>
    <t>ภาษีมูลค่าเพิ่ม     7  %</t>
  </si>
  <si>
    <t>ค่างาน ลบ.ม. ละ</t>
  </si>
  <si>
    <t>... รวมค่าวัสดุที่หน้างาน</t>
  </si>
  <si>
    <t>... รวมค่างานต้นทุน</t>
  </si>
  <si>
    <t>อื่นๆ</t>
  </si>
  <si>
    <t>ราคาก่อสร้าง</t>
  </si>
  <si>
    <t xml:space="preserve">R.C. Pipe Culvert   Dia. </t>
  </si>
  <si>
    <t>ขุดดิน</t>
  </si>
  <si>
    <t>ลบ.ม. @</t>
  </si>
  <si>
    <t xml:space="preserve">  =</t>
  </si>
  <si>
    <t>บาท/ม.</t>
  </si>
  <si>
    <t>ค่าขนส่ง</t>
  </si>
  <si>
    <t>ค่าวางและกลบกลับ</t>
  </si>
  <si>
    <t>ค่าใช้จ่ายรวม</t>
  </si>
  <si>
    <t>ค่างานต้นทุน</t>
  </si>
  <si>
    <t xml:space="preserve">    ค่าขนส่งท่อคิดจารการขนโดยรถบรรทุก  10  ล้อ  เที่ยวละ  13  ตัน</t>
  </si>
  <si>
    <t xml:space="preserve">    ค่าขนท่อขึ้น - ลง  คิดเที่ยวละ  300  บาท </t>
  </si>
  <si>
    <t xml:space="preserve">    ค่าขนส่ง     </t>
  </si>
  <si>
    <t>กม.=</t>
  </si>
  <si>
    <t>x 13+300</t>
  </si>
  <si>
    <t>บาท/เที่ยว</t>
  </si>
  <si>
    <t xml:space="preserve">    ค่าขนส่งเฉลี่ย                       = </t>
  </si>
  <si>
    <t>/</t>
  </si>
  <si>
    <t>ขนาดท่อ</t>
  </si>
  <si>
    <t>จำนวน/เที่ยว</t>
  </si>
  <si>
    <t>ปริมาณท่อรวมช่องว่างภายใน</t>
  </si>
  <si>
    <t>คอนกรีตหยาบ</t>
  </si>
  <si>
    <t>(ม.)</t>
  </si>
  <si>
    <t>(บาท/ม.)</t>
  </si>
  <si>
    <t>(ลบ.ม.)</t>
  </si>
  <si>
    <t>Ø 0.30</t>
  </si>
  <si>
    <t>Ø 0.40</t>
  </si>
  <si>
    <t>Ø 0.50</t>
  </si>
  <si>
    <t>Ø 0.60</t>
  </si>
  <si>
    <t>Ø 0.80</t>
  </si>
  <si>
    <t>Ø 1.00</t>
  </si>
  <si>
    <t>Ø 1.20</t>
  </si>
  <si>
    <t>Ø 1.50</t>
  </si>
  <si>
    <t>บาท/ตัน</t>
  </si>
  <si>
    <t>บาท/เมตร</t>
  </si>
  <si>
    <t>กก.</t>
  </si>
  <si>
    <t>@</t>
  </si>
  <si>
    <t>Metal Cap + ทาสี + จาระบี</t>
  </si>
  <si>
    <t>ชุด</t>
  </si>
  <si>
    <t xml:space="preserve">Joint  Sealer  </t>
  </si>
  <si>
    <t>ลิตร</t>
  </si>
  <si>
    <t>ค่าหยอดยาง</t>
  </si>
  <si>
    <t>ม.</t>
  </si>
  <si>
    <t>แผ่นพลาสติก</t>
  </si>
  <si>
    <t>ไม้แบบ (2)</t>
  </si>
  <si>
    <t>ค่าตัด Joint และหยอดยาง</t>
  </si>
  <si>
    <t>ทาสี + จาระบี</t>
  </si>
  <si>
    <t>Joint  Sealer</t>
  </si>
  <si>
    <t>เหล็ก RB Ø 15 มม.</t>
  </si>
  <si>
    <t>บาท/ตร.ม.</t>
  </si>
  <si>
    <t>หนา</t>
  </si>
  <si>
    <t>ซม.</t>
  </si>
  <si>
    <t>x</t>
  </si>
  <si>
    <t>บาท/ลบ.ม.</t>
  </si>
  <si>
    <t xml:space="preserve">คิดจากพื้นที่ผิวคอนกรีต  </t>
  </si>
  <si>
    <t>ค่าแบบ</t>
  </si>
  <si>
    <t>ค่าบ่มผิวทางคอนกรีต</t>
  </si>
  <si>
    <t xml:space="preserve">ค่าติดตั้งเครื่องผสม   </t>
  </si>
  <si>
    <t xml:space="preserve"> =</t>
  </si>
  <si>
    <t>ปริมาณคอนกรีต</t>
  </si>
  <si>
    <t>ปริมาณงานทั้งโครงการ</t>
  </si>
  <si>
    <t>/ 100</t>
  </si>
  <si>
    <t>X</t>
  </si>
  <si>
    <t>ค่าขัดหยาบผิวคอนกรีต</t>
  </si>
  <si>
    <t>กรณีทรายและหินมีหน่วยเป็นปริมาตร</t>
  </si>
  <si>
    <t>Class of Concrete</t>
  </si>
  <si>
    <t>ค 4</t>
  </si>
  <si>
    <t>ค 3</t>
  </si>
  <si>
    <t>ค 2</t>
  </si>
  <si>
    <t>ค 1</t>
  </si>
  <si>
    <t>Lean  1:3:5</t>
  </si>
  <si>
    <t>ส่วนผสมคอนกรีต</t>
  </si>
  <si>
    <t>400:524:728</t>
  </si>
  <si>
    <t>350:572:736</t>
  </si>
  <si>
    <t>320:596:764</t>
  </si>
  <si>
    <t>290:620:725</t>
  </si>
  <si>
    <t>240:520:870</t>
  </si>
  <si>
    <t xml:space="preserve">   1. ซีเมนต์</t>
  </si>
  <si>
    <t xml:space="preserve">   2. ทราย</t>
  </si>
  <si>
    <t xml:space="preserve">   3. หิน</t>
  </si>
  <si>
    <t>320/280</t>
  </si>
  <si>
    <t>280/240</t>
  </si>
  <si>
    <t>240/210</t>
  </si>
  <si>
    <t>210/180</t>
  </si>
  <si>
    <t>180/140</t>
  </si>
  <si>
    <t xml:space="preserve">   1. คอนกรีตผสมเสร็จ</t>
  </si>
  <si>
    <t xml:space="preserve">   2. ค่าแรงเท</t>
  </si>
  <si>
    <t xml:space="preserve">ปูนซีเมนต์ปอร์ตแลนด์   </t>
  </si>
  <si>
    <t>ทรายหยาบ</t>
  </si>
  <si>
    <t>หินผสมคอนกรีต</t>
  </si>
  <si>
    <t>ทรายถม</t>
  </si>
  <si>
    <t>ท่อน</t>
  </si>
  <si>
    <t>สืบ</t>
  </si>
  <si>
    <t>ไม้กระบากไม่ไส  1"x6"</t>
  </si>
  <si>
    <t>ลบ.ฟ.</t>
  </si>
  <si>
    <t>ไม้ยางไม่ไส 1 1/2"x3"</t>
  </si>
  <si>
    <t>ตะปูตอกไม้ชนิดผอม  ขนาด 3 นิ้ว</t>
  </si>
  <si>
    <t>กม.  X</t>
  </si>
  <si>
    <t>ค่างานต้นทุนที่ใช้</t>
  </si>
  <si>
    <t>ค่าขนส่งวัสดุไปทิ้ง  ระยะทางขนส่ง</t>
  </si>
  <si>
    <t>กม.</t>
  </si>
  <si>
    <t xml:space="preserve">... รวมค่างานต้นทุน </t>
  </si>
  <si>
    <t>งานดินถมจากงานดินตัด</t>
  </si>
  <si>
    <t>ค่าวัสดุ</t>
  </si>
  <si>
    <t>งานดินถม</t>
  </si>
  <si>
    <t>ค่าวัสดุที่แหล่ง</t>
  </si>
  <si>
    <t>งานดิน</t>
  </si>
  <si>
    <t>1.1 งานขุดป่าถางตอขนาดกลาง</t>
  </si>
  <si>
    <t>1.2 งานดินตัดคันทาง</t>
  </si>
  <si>
    <t>1.3  งานดินถมคันทาง</t>
  </si>
  <si>
    <t>2.1 งานทรายรองใต้ผิวทางคอนกรีต</t>
  </si>
  <si>
    <t>งานวัสดุรองใต้ผิวทางคอนกรีต</t>
  </si>
  <si>
    <t>งานผิวทาง</t>
  </si>
  <si>
    <t>3.1 งานผิวทางปอร์ตแลนด์ซีเมนต์คอนกรีตหนา 0.15 ม.</t>
  </si>
  <si>
    <t>3.2 งานรอยต่อเผื่อขยายตามขวาง</t>
  </si>
  <si>
    <t>3.3 งานรอยต่อเผื่อหดตามขวาง</t>
  </si>
  <si>
    <t>3.4 งานรอยต่อตามยาว</t>
  </si>
  <si>
    <t>งานไหล่ทาง</t>
  </si>
  <si>
    <t>4.1 งานดินถมไหล่ทาง</t>
  </si>
  <si>
    <t>รวมค่าก่อสร้าง</t>
  </si>
  <si>
    <t>งานทรายรองใต้ผิวทางคอนกรีต</t>
  </si>
  <si>
    <t>ค่าวัสดุจากแหล่งรวมค่าตัก</t>
  </si>
  <si>
    <t xml:space="preserve">ค่าขนส่ง   </t>
  </si>
  <si>
    <t>งานดินตัด</t>
  </si>
  <si>
    <t>ดินถมไหล่ทาง</t>
  </si>
  <si>
    <t>ราคา/หน่วย</t>
  </si>
  <si>
    <t>ต่อ 1 ตร.ม.</t>
  </si>
  <si>
    <t xml:space="preserve"> - ค่าแรงประกอบแบบ</t>
  </si>
  <si>
    <t xml:space="preserve"> - ไม้กระบากขนาด 1" x 6"- 8" ยาว 2.50 - 6.00 เมตร</t>
  </si>
  <si>
    <t xml:space="preserve"> - ไม้ยางขนาด 1.1/2" x 3" ยาว 2.50 - 6.00 เมตร</t>
  </si>
  <si>
    <t xml:space="preserve"> -  ตะปู</t>
  </si>
  <si>
    <t xml:space="preserve">  *</t>
  </si>
  <si>
    <t xml:space="preserve"> - ไม้ค้ำยันไม้แบบ</t>
  </si>
  <si>
    <t>ต้น</t>
  </si>
  <si>
    <t xml:space="preserve"> -  น้ำมันทาผิวไม้</t>
  </si>
  <si>
    <t>ใช้งานได้ 5 ครั้ง</t>
  </si>
  <si>
    <t>ราคาไม้แบบที่ใช้</t>
  </si>
  <si>
    <t xml:space="preserve">บาท/ลบ.ม. </t>
  </si>
  <si>
    <t>ลบม  @</t>
  </si>
  <si>
    <t>กก.  @</t>
  </si>
  <si>
    <t>เหล็กเสริม RBØ 9 มม.</t>
  </si>
  <si>
    <t>ลวดผูกเหล็ก</t>
  </si>
  <si>
    <t>ไม้แบบ 1</t>
  </si>
  <si>
    <t>ตร.ม.  @</t>
  </si>
  <si>
    <t>ใช้งานได้ 4 ครั้ง</t>
  </si>
  <si>
    <t>ลบ.ม.  @</t>
  </si>
  <si>
    <t>ทรายหยาบอัดแน่น</t>
  </si>
  <si>
    <t>ฝา</t>
  </si>
  <si>
    <t>งานรางระบายน้ำ</t>
  </si>
  <si>
    <t>งานรางระบายน้ำ คสล.</t>
  </si>
  <si>
    <t>งานฝารางระบายน้ำ</t>
  </si>
  <si>
    <t>งานท่อระบายน้ำ คสล.</t>
  </si>
  <si>
    <t>งานท่อระบายน้ำ คสล. Ø 0.30 ม.</t>
  </si>
  <si>
    <t>เมตร  ชั้น -</t>
  </si>
  <si>
    <t>บาท  x</t>
  </si>
  <si>
    <t>รวมยอดยกไป</t>
  </si>
  <si>
    <t>รวมยอดยกมา</t>
  </si>
  <si>
    <t>ราคากลาง</t>
  </si>
  <si>
    <t xml:space="preserve">ค่าดำเนินการและค่าเสื่อมบดอัด  </t>
  </si>
  <si>
    <t>1.  ข้อมูลงานคอนกรีต  Class  ต่างๆ  ตามมาตรฐานกรมทางหลวงชนบท</t>
  </si>
  <si>
    <t>2.  ข้อมูลงานคอนกรีต กรณีใช้คอนกรีตผสมเสร็จ  รูปลูกบาศก์/รูปทรงกระบอก</t>
  </si>
  <si>
    <t xml:space="preserve">   4. ค่าแรงผสม - เท</t>
  </si>
  <si>
    <t>( นายสุรพงษ์   ศิลป์ท้าว)</t>
  </si>
  <si>
    <t xml:space="preserve">  </t>
  </si>
  <si>
    <t>แบบสรุปการเสนอราคางานก่อสร้างทาง สะพาน และท่อเหลี่ยม</t>
  </si>
  <si>
    <t>เสนอราคาเมื่อวันที่ ...........................................</t>
  </si>
  <si>
    <t>ระยะเวลาดำเนินการ ........................... วัน</t>
  </si>
  <si>
    <t>เขตฝนตกปกติ   ราคาน้ำมันโซล่าเฉลี่ยที่อำเภอเมือง ..............................  บาท/ลิตร</t>
  </si>
  <si>
    <t>(................................................)</t>
  </si>
  <si>
    <t>ประทับตราถ้ามี</t>
  </si>
  <si>
    <t>ลงชื่อ........................................................ผู้เสนอราคา</t>
  </si>
  <si>
    <t>เหล็ก RB Ø 19 มม.</t>
  </si>
  <si>
    <t>เหล็ก RB Ø 6 มม.</t>
  </si>
  <si>
    <t xml:space="preserve">ลวดผูกเหล็ก </t>
  </si>
  <si>
    <t>พาณิชย์ ฯ น่าน</t>
  </si>
  <si>
    <t>กก.   @</t>
  </si>
  <si>
    <t>/ 1000</t>
  </si>
  <si>
    <t xml:space="preserve">ค่าปูผิวคอนกรีต  </t>
  </si>
  <si>
    <t>บาท/กก.</t>
  </si>
  <si>
    <t xml:space="preserve">Joint  Filler  </t>
  </si>
  <si>
    <t xml:space="preserve">    /</t>
  </si>
  <si>
    <t>m.</t>
  </si>
  <si>
    <t xml:space="preserve"> =เหล็กเสริม</t>
  </si>
  <si>
    <t>งานขุดป่าถางตอ</t>
  </si>
  <si>
    <t>ค่าดำเนินการและค่าเสื่อมราคา (งานตัด-ขึ้นรูปคันทาง: ดิน-ตัก)</t>
  </si>
  <si>
    <t>ค่าดำเนินการและค่าเสื่อมราคา (งานตัด-ขึ้นรูปคันทาง: ดิน-ขุดตัด)</t>
  </si>
  <si>
    <t>ค่าดำเนินการและค่าเสื่อมราคา(งานคันทาง: ขุด-ขน)</t>
  </si>
  <si>
    <t>ค่าขนส่งวัสดุจากงานดินตัด  ระยะทางขนส่ง</t>
  </si>
  <si>
    <t>ค่าดำเนินการและค่าเสื่อมราคา(งานคันทาง: บดทับ</t>
  </si>
  <si>
    <t xml:space="preserve">ส่วนขยายตัว                   (..1+2) </t>
  </si>
  <si>
    <t>อัตราส่วนการยุบตัวเมื่อบดทับ     (...1+2+3)</t>
  </si>
  <si>
    <t>ค่าตัดแต่งบันได(งานตัดแต่งบันได: งานตัดแต่งบันได)</t>
  </si>
  <si>
    <t>ค่าดำเนินการและค่าเสื่อมราคา(งานคันทาง: บดทับ)</t>
  </si>
  <si>
    <t>หมายเหตุ :</t>
  </si>
  <si>
    <t>(ดินเหนียวมีค่า CBR น้อยกว่า 2)</t>
  </si>
  <si>
    <t>แนวเก่า</t>
  </si>
  <si>
    <t>แนวใหม่</t>
  </si>
  <si>
    <t>ส่วนยุบตัวของทรายถมคันทาง</t>
  </si>
  <si>
    <t xml:space="preserve">ดิน,ดินปนทราย ถมคันทาง </t>
  </si>
  <si>
    <t xml:space="preserve">ดินเหนียวถมคันทาง </t>
  </si>
  <si>
    <t>คิดจากความยาว</t>
  </si>
  <si>
    <t>คิดเหล็กเสริม Dowel Bar</t>
  </si>
  <si>
    <t xml:space="preserve">คิดจากความยาว  </t>
  </si>
  <si>
    <t xml:space="preserve"> </t>
  </si>
  <si>
    <t>เหล็ก DB Ø 12 มม.</t>
  </si>
  <si>
    <t>บาท/</t>
  </si>
  <si>
    <t xml:space="preserve">ค่าเหล็ก Tie Bar  (DB Ø 12 มม.) </t>
  </si>
  <si>
    <t>ค่าดำเนินการ+ค่าเสื่อมราคาเรื่องจักร(งานขุดป่าถางตอ: ขนาดกลาง)</t>
  </si>
  <si>
    <t xml:space="preserve">ส่วนยุบตัว          =                                 </t>
  </si>
  <si>
    <t>+</t>
  </si>
  <si>
    <t>คอนกรีตผสมเสร็จรูปลูกบาศก์ 280 กก./ตร.ซม.</t>
  </si>
  <si>
    <t>บ่อ</t>
  </si>
  <si>
    <t>เหล็ก RB Ø 9 มม.</t>
  </si>
  <si>
    <t xml:space="preserve">ค่าเหล็กเสริม </t>
  </si>
  <si>
    <t>RB Ø 9 มม.</t>
  </si>
  <si>
    <t>RB Ø 6 มม.</t>
  </si>
  <si>
    <t xml:space="preserve">เหล็กฉากขนาด 50x50x4 มม. </t>
  </si>
  <si>
    <t>ค่าเชื่อม</t>
  </si>
  <si>
    <t>เหล็กฉาก 50x50x4 มม.</t>
  </si>
  <si>
    <t>กก. @</t>
  </si>
  <si>
    <t xml:space="preserve">ขุดดินและปรับพื้น </t>
  </si>
  <si>
    <t>GL.</t>
  </si>
  <si>
    <t xml:space="preserve"> - ทาสีรองพื้นกันสนิม จำนวน</t>
  </si>
  <si>
    <t xml:space="preserve"> - น้ำมันสนหรือน้ำมันซักแห้ง จำนวน</t>
  </si>
  <si>
    <r>
      <t xml:space="preserve">งานทาสีเหล็กกันสนิม </t>
    </r>
    <r>
      <rPr>
        <sz val="16"/>
        <rFont val="TH SarabunPSK"/>
        <family val="2"/>
      </rPr>
      <t>(รองพื้นกันสนิม 3 เที่ยว)</t>
    </r>
  </si>
  <si>
    <t xml:space="preserve">รวมวัสดุทาสีเหล็กกันสนิม(รองพื้นกันสนิม 3 เที่ยว) </t>
  </si>
  <si>
    <t>สีกันสนิมเหล็ก (รองพื้นกันสนิม 3 เที่ยว)</t>
  </si>
  <si>
    <t>ค่าแรงทาสี</t>
  </si>
  <si>
    <t>เหล็กแบน 50x6 มม.</t>
  </si>
  <si>
    <t xml:space="preserve">ข.  ฝาปิดตะแกรงเหล็ก </t>
  </si>
  <si>
    <t>แผ่นเหล็ก 50x6 มม.</t>
  </si>
  <si>
    <t>ทรายหยาบรองพื้น</t>
  </si>
  <si>
    <t>ค่างานต้นทุนบ่อพักน้ำ คสล. พร้อมฝาปิดตะแกรงเหล็ก แบบที่ 1</t>
  </si>
  <si>
    <r>
      <t xml:space="preserve">ค่าท่อ  </t>
    </r>
    <r>
      <rPr>
        <sz val="16"/>
        <color indexed="10"/>
        <rFont val="TH SarabunPSK"/>
        <family val="2"/>
      </rPr>
      <t/>
    </r>
  </si>
  <si>
    <t>ก.  บ่อพักน้ำไม่รวมฝาปิด</t>
  </si>
  <si>
    <t>งานบ่อพักน้ำ คสล. แบบที่ 1</t>
  </si>
  <si>
    <t>งานบ่อพักน้ำ คสล. แบบที่ 2</t>
  </si>
  <si>
    <t>แผ่นเหล็ก 50x4 มม.</t>
  </si>
  <si>
    <t>เหล็กแบน 50x4 มม.</t>
  </si>
  <si>
    <t xml:space="preserve">แบบสรุปราคากลางงานก่อสร้างทาง </t>
  </si>
  <si>
    <t>ตัน</t>
  </si>
  <si>
    <t>ส่วนราชการ  :</t>
  </si>
  <si>
    <t>กองช่าง  องค์การบริหารส่วนตำบลป่ากลาง  อำเภอปัว  จังหวัดน่าน</t>
  </si>
  <si>
    <t xml:space="preserve">โครงการ      : </t>
  </si>
  <si>
    <t xml:space="preserve">แบบก่อสร้าง : </t>
  </si>
  <si>
    <t>ปริมาณงาน   :</t>
  </si>
  <si>
    <t xml:space="preserve">ที่ตั้งโครงการ : </t>
  </si>
  <si>
    <t>กว้าง</t>
  </si>
  <si>
    <t>ยาว</t>
  </si>
  <si>
    <t>พท.</t>
  </si>
  <si>
    <t>พท.ปาก</t>
  </si>
  <si>
    <t>คิดเหล็กเสริม/แผ่น</t>
  </si>
  <si>
    <t>ขนาด x กว้าง(ต่อแผ่น)</t>
  </si>
  <si>
    <t>ท่อ คสล. ปากลิ้นรางชั้น 3 ขนาด Ø 0.80  ม.</t>
  </si>
  <si>
    <t>Metal Cap</t>
  </si>
  <si>
    <t>2 ข้าง</t>
  </si>
  <si>
    <t>( นางสาวสำเนา  ทองกลิ่น )</t>
  </si>
  <si>
    <t>F ค่างานตัวต่ำกว่าต้นทุน</t>
  </si>
  <si>
    <t>F ค่างานตัวสูงกว่าต้นทุน</t>
  </si>
  <si>
    <t>ค่างานตัวสูงกว่าต้นทุน</t>
  </si>
  <si>
    <t>ค่างานตัวต่ำกว่าต้นทุน</t>
  </si>
  <si>
    <t>ต้นทุน</t>
  </si>
  <si>
    <r>
      <t>งานผิวทางปอร์ตแลนด์ซีเมนต์  (Portland  Cement  Concrete  Pavement)</t>
    </r>
    <r>
      <rPr>
        <sz val="16"/>
        <rFont val="Angsana New"/>
        <family val="1"/>
      </rPr>
      <t xml:space="preserve">  (ใช้เหล็กเส้นทั่วไป)</t>
    </r>
  </si>
  <si>
    <r>
      <t xml:space="preserve">Expansion  Joint  </t>
    </r>
    <r>
      <rPr>
        <sz val="16"/>
        <rFont val="Angsana New"/>
        <family val="1"/>
      </rPr>
      <t>(รอยต่อเผื่อขยายตามขวาง)</t>
    </r>
  </si>
  <si>
    <r>
      <t>Contraction  Joint</t>
    </r>
    <r>
      <rPr>
        <b/>
        <sz val="16"/>
        <rFont val="Angsana New"/>
        <family val="1"/>
      </rPr>
      <t xml:space="preserve">  </t>
    </r>
    <r>
      <rPr>
        <sz val="16"/>
        <rFont val="Angsana New"/>
        <family val="1"/>
      </rPr>
      <t>(รอยต่อเผื่อหดตามขวาง)</t>
    </r>
  </si>
  <si>
    <r>
      <t>Longitudinal  Joint</t>
    </r>
    <r>
      <rPr>
        <b/>
        <sz val="16"/>
        <rFont val="Angsana New"/>
        <family val="1"/>
      </rPr>
      <t xml:space="preserve">  </t>
    </r>
    <r>
      <rPr>
        <sz val="16"/>
        <rFont val="Angsana New"/>
        <family val="1"/>
      </rPr>
      <t>(รอยต่อตามยาว)</t>
    </r>
  </si>
  <si>
    <r>
      <t>ไม้ขนาดø</t>
    </r>
    <r>
      <rPr>
        <sz val="17.600000000000001"/>
        <rFont val="Angsana New"/>
        <family val="1"/>
      </rPr>
      <t xml:space="preserve"> 4"x4.00  ม.</t>
    </r>
  </si>
  <si>
    <r>
      <t xml:space="preserve">  ไม้แบบงานอย่างง่ายหรือไม้แบบ(1) </t>
    </r>
    <r>
      <rPr>
        <sz val="16"/>
        <rFont val="Angsana New"/>
        <family val="1"/>
      </rPr>
      <t>ใช้ได้ 4 ครั้ง</t>
    </r>
  </si>
  <si>
    <r>
      <t xml:space="preserve">  ไม้แบบงานอย่างง่ายหรือไม้แบบ(2) </t>
    </r>
    <r>
      <rPr>
        <sz val="16"/>
        <rFont val="Angsana New"/>
        <family val="1"/>
      </rPr>
      <t>ใช้ได้ 5 ครั้ง</t>
    </r>
  </si>
  <si>
    <t>อัตราดอกเบี้ยเงินกู้ (MLR)   7 %</t>
  </si>
  <si>
    <t>( นางสาวนิตยา  ชนาวัฒนานนท์ )</t>
  </si>
  <si>
    <t>ผู้ช่วยธุระการ</t>
  </si>
  <si>
    <t>ท่อ คสล. ปากลิ้นรางชั้น 3 ขนาด Ø 0.60  ม.</t>
  </si>
  <si>
    <t>ลงชื่อ.................................................กรรมการกำหนดราคากลาง</t>
  </si>
  <si>
    <t>ลงชื่อ..................................................กรรมการกำหนดราคากลาง</t>
  </si>
  <si>
    <t>ลงชื่อ......................................กรรมการกำหนดราคากลาง</t>
  </si>
  <si>
    <t>ลงชื่อ.........................................กรรมการกำหนดราคากลาง</t>
  </si>
  <si>
    <t>เงินล่วงหน้าจ่าย   0  %</t>
  </si>
  <si>
    <t>( นางสาวดารารัตน์  จันต๊ะยอด )</t>
  </si>
  <si>
    <t>( นายวราพงษ์  พันธ์ชัย)</t>
  </si>
  <si>
    <t>เขตฝนตกปกติ   ราคาน้ำมันโซล่าเฉลี่ยที่อำเภอเมือง  32.63 (32.00-32.99) บาท/ลิตร</t>
  </si>
  <si>
    <t>งานวางท่อลอด PVC.</t>
  </si>
  <si>
    <t>ค่าเหล็ก Dowel Bar  (RB Ø 15 มม.)</t>
  </si>
  <si>
    <t>( นางณัฐวดี  คุณมงคล)</t>
  </si>
  <si>
    <t>นักวิชาการพัสดุ</t>
  </si>
  <si>
    <t>( นายสุริยัน  แซ่ท้าว)</t>
  </si>
  <si>
    <t>ผู้ช่วยเจ้าพนักงานพัสดุ</t>
  </si>
  <si>
    <t>( นางเดือนเพ็ญ  นำวงค์ )</t>
  </si>
  <si>
    <t>( นางสาวกัญญาภัทร สาระไชย)</t>
  </si>
  <si>
    <t>ป้ายแสดงโครงการ</t>
  </si>
  <si>
    <t>กลุ่มงาน/งาน กองช่าง องค์การบริหารส่วนตำบลป่ากลาง อำเภอปัว จังหวัดน่าน</t>
  </si>
  <si>
    <t>ลำดับที่</t>
  </si>
  <si>
    <t xml:space="preserve">     ค่าวัสดุ  ( บาท )</t>
  </si>
  <si>
    <t>ค่าแรงงาน ( บาท )</t>
  </si>
  <si>
    <t>ค่าวัสดุและค่าแรง</t>
  </si>
  <si>
    <t xml:space="preserve"> หมายเหตุ</t>
  </si>
  <si>
    <t>ราคาต่อหน่วย</t>
  </si>
  <si>
    <t>จำนวนเงิน</t>
  </si>
  <si>
    <t xml:space="preserve"> ( บาท )</t>
  </si>
  <si>
    <t xml:space="preserve"> - แผ่นเหล็กหนาไม่น้อยกว่า 1.2 มม. 0.50x1.00 ม.</t>
  </si>
  <si>
    <t>แผ่น</t>
  </si>
  <si>
    <t xml:space="preserve"> - เหล็กกล่อง 75x75x1.6 มม.</t>
  </si>
  <si>
    <t xml:space="preserve"> - งานประกอบเหล็กรูปพรรณ</t>
  </si>
  <si>
    <t xml:space="preserve"> - น๊อต 3/8 นิ้ว ยาว 5 นิ้ว</t>
  </si>
  <si>
    <t>ตัว</t>
  </si>
  <si>
    <t xml:space="preserve"> - รองพื้นกันสนิมเหล็ก</t>
  </si>
  <si>
    <t xml:space="preserve"> - งานสีน้ำมัน</t>
  </si>
  <si>
    <t xml:space="preserve"> - ค่าติดสติ๊กเกอร์ตัวหนังสือ</t>
  </si>
  <si>
    <t>ป้าย</t>
  </si>
  <si>
    <t xml:space="preserve"> - งานติดตั้งป้ายโครงการ</t>
  </si>
  <si>
    <t>ราคาต้นทุนต่อหน่วย</t>
  </si>
  <si>
    <t>แผ่นเหล็กหนาไม่น้อยกว่า 1.2 มม. 0.50x1.00 ม.</t>
  </si>
  <si>
    <t>เหล็กกล่อง 75x75x1.6 มม.</t>
  </si>
  <si>
    <t>น๊อต 3/8 นิ้ว ยาว 5 นิ้ว</t>
  </si>
  <si>
    <t xml:space="preserve"> - เหล็กกล่อง 19x19x1.4 มม.</t>
  </si>
  <si>
    <t>เหล็กกล่อง 19x19x1.4 มม.</t>
  </si>
  <si>
    <t>ป้ายโครงการ</t>
  </si>
  <si>
    <t>งานวางท่อ ค.ส.ล.</t>
  </si>
  <si>
    <t>7.1 งานท่อ ค.ส.ล. ปากลิ้นรางชั้น 3 ขนาด Ø 0.60  ม.</t>
  </si>
  <si>
    <t>( นาวรวุฒิ  ปันนิตามัย)</t>
  </si>
  <si>
    <t>ผู้ช่วยนายช่างเขียนแบบ</t>
  </si>
  <si>
    <t>ปรับปรุงผิวจราจรลูกรังเป็นคอนกรีตเสริมเหล็กบ้านชัยยุทธ-บ้านนางปราณี  บ้านค้างฮ่อ  หมู่ที่ 3</t>
  </si>
  <si>
    <t>เทผิวจราจรคอนกรีตเสริมเหล็กขนาดกว้าง 5.00 เมตร  ยาว 148.00 เมตร  หนา 0.15 เมตร หรือมีพื้นที่ดำเนินการไม่น้อยกว่า 740.00 ตารางเมตร  พร้อมไหล่ทางกว้างเฉลี่ย 0.50 เมตร  ตามแบบ อบต.ป่ากลาง</t>
  </si>
  <si>
    <r>
      <t xml:space="preserve">ระยะเวลาดำเนินการ  </t>
    </r>
    <r>
      <rPr>
        <sz val="16"/>
        <color rgb="FFFF0000"/>
        <rFont val="Cordia New"/>
        <family val="2"/>
      </rPr>
      <t xml:space="preserve">75 </t>
    </r>
    <r>
      <rPr>
        <sz val="16"/>
        <rFont val="Cordia New"/>
        <family val="2"/>
      </rPr>
      <t>วัน</t>
    </r>
  </si>
  <si>
    <t xml:space="preserve">ท่อ PVC. Ø 4" ชั้น 8.5 </t>
  </si>
  <si>
    <t>3.1 ทรายรองใต้ผิวทางคอนกรีต</t>
  </si>
  <si>
    <t>2.3  ดินถมคันทาง</t>
  </si>
  <si>
    <t>2.2 ดินตัดคันทาง</t>
  </si>
  <si>
    <t>2.1 รื้อคันทางเดิมและบดทับ</t>
  </si>
  <si>
    <t>1.1 ขุดป่าถางตอขนาดกลาง</t>
  </si>
  <si>
    <t>4.1 ผิวทางปอร์ตแลนด์ซีเมนต์คอนกรีตหนา     0.15 ม.</t>
  </si>
  <si>
    <t>4.2 ผิวทางปอร์ตแลนด์ซีเมนต์คอนกรีตหนา     0.15 ม.  (ส่วนขยาย)</t>
  </si>
  <si>
    <t>4.3 รอยต่อเผื่อขยายตามขวาง</t>
  </si>
  <si>
    <t>4.4 รอยต่อเผื่อหดตามขวาง</t>
  </si>
  <si>
    <t>4.5 รอยต่อตามยาว</t>
  </si>
  <si>
    <t>5.1 ดินถมไหล่ทาง</t>
  </si>
  <si>
    <t xml:space="preserve">6.1 ท่อ PVC Ø 4" ชั้น 8.5 </t>
  </si>
  <si>
    <t xml:space="preserve">6.2 ข้อต่อตรง PVC Ø 4"  </t>
  </si>
  <si>
    <t>อัน</t>
  </si>
  <si>
    <t xml:space="preserve">ข้อต่อ PVC. Ø 4"  </t>
  </si>
  <si>
    <t>บ้านค้างฮ่อ หมู่ที่ 3   ตำบลป่ากลาง  อำเภอปัว  จังหวัดน่าน</t>
  </si>
  <si>
    <t>แบบอบต.ป่ากลาง เลขที่  18/2568  จำนวน  5   แผ่น</t>
  </si>
  <si>
    <t>กำหนดราคาวันที่ 4 สิงหาคม 2568</t>
  </si>
  <si>
    <t>นักวิชาการเงินและบัญชี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</si>
</sst>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(* #,##0.00_);_(* \(#,##0.00\);_(* &quot;-&quot;??_);_(@_)"/>
    <numFmt numFmtId="165" formatCode="\t0.00E+00"/>
    <numFmt numFmtId="166" formatCode="&quot;฿&quot;\t#,##0_);\(&quot;฿&quot;\t#,##0\)"/>
    <numFmt numFmtId="167" formatCode="m/d/yy\ hh:mm"/>
    <numFmt numFmtId="168" formatCode="_(&quot;$&quot;* #,##0.000_);_(&quot;$&quot;* \(#,##0.000\);_(&quot;$&quot;* &quot;-&quot;??_);_(@_)"/>
    <numFmt numFmtId="169" formatCode="_(&quot;$&quot;* #,##0.0000_);_(&quot;$&quot;* \(#,##0.0000\);_(&quot;$&quot;* &quot;-&quot;??_);_(@_)"/>
    <numFmt numFmtId="170" formatCode="#,##0.0_);\(#,##0.0\)"/>
    <numFmt numFmtId="171" formatCode="0.0&quot;  &quot;"/>
    <numFmt numFmtId="172" formatCode="_-* #,##0.00000_-;\-* #,##0.00000_-;_-* &quot;-&quot;?????_-;_-@_-"/>
    <numFmt numFmtId="173" formatCode="#,##0.000000&quot; &quot;"/>
    <numFmt numFmtId="174" formatCode="#,###&quot;   &quot;"/>
    <numFmt numFmtId="175" formatCode="General_)"/>
    <numFmt numFmtId="176" formatCode="dd\-mm\-yy"/>
    <numFmt numFmtId="177" formatCode="_-* #,##0.0000_-;\-* #,##0.0000_-;_-* &quot;-&quot;??_-;_-@_-"/>
    <numFmt numFmtId="178" formatCode="#,##0.0000"/>
    <numFmt numFmtId="179" formatCode="0.000"/>
    <numFmt numFmtId="180" formatCode="0.0"/>
    <numFmt numFmtId="181" formatCode="_(* #,##0.000_);_(* \(#,##0.000\);_(* &quot;-&quot;??_);_(@_)"/>
    <numFmt numFmtId="182" formatCode="_-* #,##0_-;\-* #,##0_-;_-* &quot;-&quot;??_-;_-@_-"/>
    <numFmt numFmtId="183" formatCode="_-* #,##0.000_-;\-* #,##0.000_-;_-* &quot;-&quot;??_-;_-@_-"/>
    <numFmt numFmtId="184" formatCode="#,##0.000"/>
    <numFmt numFmtId="185" formatCode="_-* #,##0.0000_-;\-* #,##0.0000_-;_-* &quot;-&quot;????_-;_-@_-"/>
  </numFmts>
  <fonts count="5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UPC"/>
      <family val="2"/>
      <charset val="222"/>
    </font>
    <font>
      <sz val="14"/>
      <name val="AngsanaUPC"/>
      <family val="1"/>
    </font>
    <font>
      <sz val="10"/>
      <name val="Arial"/>
      <family val="2"/>
    </font>
    <font>
      <sz val="7"/>
      <name val="Small Fonts"/>
      <family val="2"/>
    </font>
    <font>
      <sz val="16"/>
      <name val="TH SarabunPSK"/>
      <family val="2"/>
    </font>
    <font>
      <sz val="16"/>
      <name val="Angsana New"/>
      <family val="1"/>
    </font>
    <font>
      <sz val="14"/>
      <name val="SV Rojchana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sz val="14"/>
      <name val="AngsanaUPC"/>
      <family val="1"/>
      <charset val="222"/>
    </font>
    <font>
      <sz val="11"/>
      <name val="Times New Roman"/>
      <family val="1"/>
    </font>
    <font>
      <sz val="16"/>
      <name val="Dilleni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name val="AngsanaUPC"/>
      <family val="1"/>
      <charset val="222"/>
    </font>
    <font>
      <b/>
      <u/>
      <sz val="16"/>
      <name val="TH SarabunPSK"/>
      <family val="2"/>
    </font>
    <font>
      <sz val="16"/>
      <color indexed="10"/>
      <name val="TH SarabunPSK"/>
      <family val="2"/>
    </font>
    <font>
      <sz val="11"/>
      <color theme="1"/>
      <name val="TH SarabunPSK"/>
      <family val="2"/>
    </font>
    <font>
      <sz val="16"/>
      <color rgb="FF0000FF"/>
      <name val="TH SarabunPSK"/>
      <family val="2"/>
    </font>
    <font>
      <b/>
      <sz val="16"/>
      <color theme="1"/>
      <name val="TH SarabunPSK"/>
      <family val="2"/>
    </font>
    <font>
      <sz val="16"/>
      <name val="AngsanaUPC"/>
      <family val="1"/>
      <charset val="22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5"/>
      <color rgb="FFFF0000"/>
      <name val="TH SarabunPSK"/>
      <family val="2"/>
    </font>
    <font>
      <sz val="15"/>
      <name val="TH SarabunPSK"/>
      <family val="2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7.600000000000001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  <font>
      <sz val="16"/>
      <color rgb="FF0000FF"/>
      <name val="Angsana New"/>
      <family val="1"/>
    </font>
    <font>
      <b/>
      <i/>
      <sz val="16"/>
      <name val="Angsana New"/>
      <family val="1"/>
    </font>
    <font>
      <sz val="16"/>
      <name val="Cordia New"/>
      <family val="2"/>
    </font>
    <font>
      <b/>
      <sz val="16"/>
      <name val="Cordia New"/>
      <family val="2"/>
    </font>
    <font>
      <sz val="16"/>
      <color rgb="FFFF0000"/>
      <name val="Cordia New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4" fillId="0" borderId="0"/>
    <xf numFmtId="0" fontId="17" fillId="0" borderId="0"/>
    <xf numFmtId="9" fontId="5" fillId="2" borderId="0"/>
    <xf numFmtId="0" fontId="18" fillId="3" borderId="13">
      <alignment horizontal="centerContinuous" vertical="top"/>
    </xf>
    <xf numFmtId="0" fontId="5" fillId="0" borderId="0" applyFill="0" applyBorder="0" applyAlignment="0"/>
    <xf numFmtId="170" fontId="13" fillId="0" borderId="0" applyFill="0" applyBorder="0" applyAlignment="0"/>
    <xf numFmtId="0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8" fontId="4" fillId="0" borderId="0" applyFill="0" applyBorder="0" applyAlignment="0"/>
    <xf numFmtId="171" fontId="10" fillId="0" borderId="0" applyFill="0" applyBorder="0" applyAlignment="0"/>
    <xf numFmtId="170" fontId="13" fillId="0" borderId="0" applyFill="0" applyBorder="0" applyAlignment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3" borderId="13">
      <alignment horizontal="centerContinuous" vertical="top"/>
    </xf>
    <xf numFmtId="170" fontId="13" fillId="0" borderId="0" applyFont="0" applyFill="0" applyBorder="0" applyAlignment="0" applyProtection="0"/>
    <xf numFmtId="14" fontId="20" fillId="0" borderId="0" applyFill="0" applyBorder="0" applyAlignment="0"/>
    <xf numFmtId="15" fontId="21" fillId="4" borderId="0">
      <alignment horizontal="centerContinuous"/>
    </xf>
    <xf numFmtId="168" fontId="4" fillId="0" borderId="0" applyFill="0" applyBorder="0" applyAlignment="0"/>
    <xf numFmtId="170" fontId="13" fillId="0" borderId="0" applyFill="0" applyBorder="0" applyAlignment="0"/>
    <xf numFmtId="168" fontId="4" fillId="0" borderId="0" applyFill="0" applyBorder="0" applyAlignment="0"/>
    <xf numFmtId="171" fontId="10" fillId="0" borderId="0" applyFill="0" applyBorder="0" applyAlignment="0"/>
    <xf numFmtId="170" fontId="13" fillId="0" borderId="0" applyFill="0" applyBorder="0" applyAlignment="0"/>
    <xf numFmtId="38" fontId="19" fillId="3" borderId="0" applyNumberFormat="0" applyBorder="0" applyAlignment="0" applyProtection="0"/>
    <xf numFmtId="0" fontId="22" fillId="0" borderId="14" applyNumberFormat="0" applyAlignment="0" applyProtection="0">
      <alignment horizontal="left" vertical="center"/>
    </xf>
    <xf numFmtId="0" fontId="22" fillId="0" borderId="15">
      <alignment horizontal="left" vertical="center"/>
    </xf>
    <xf numFmtId="10" fontId="19" fillId="5" borderId="1" applyNumberFormat="0" applyBorder="0" applyAlignment="0" applyProtection="0"/>
    <xf numFmtId="168" fontId="4" fillId="0" borderId="0" applyFill="0" applyBorder="0" applyAlignment="0"/>
    <xf numFmtId="170" fontId="13" fillId="0" borderId="0" applyFill="0" applyBorder="0" applyAlignment="0"/>
    <xf numFmtId="168" fontId="4" fillId="0" borderId="0" applyFill="0" applyBorder="0" applyAlignment="0"/>
    <xf numFmtId="171" fontId="10" fillId="0" borderId="0" applyFill="0" applyBorder="0" applyAlignment="0"/>
    <xf numFmtId="170" fontId="13" fillId="0" borderId="0" applyFill="0" applyBorder="0" applyAlignment="0"/>
    <xf numFmtId="37" fontId="6" fillId="0" borderId="0"/>
    <xf numFmtId="172" fontId="4" fillId="0" borderId="0"/>
    <xf numFmtId="0" fontId="4" fillId="0" borderId="0"/>
    <xf numFmtId="0" fontId="4" fillId="0" borderId="0"/>
    <xf numFmtId="0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4" fillId="0" borderId="0" applyFill="0" applyBorder="0" applyAlignment="0"/>
    <xf numFmtId="170" fontId="13" fillId="0" borderId="0" applyFill="0" applyBorder="0" applyAlignment="0"/>
    <xf numFmtId="168" fontId="4" fillId="0" borderId="0" applyFill="0" applyBorder="0" applyAlignment="0"/>
    <xf numFmtId="171" fontId="10" fillId="0" borderId="0" applyFill="0" applyBorder="0" applyAlignment="0"/>
    <xf numFmtId="170" fontId="13" fillId="0" borderId="0" applyFill="0" applyBorder="0" applyAlignment="0"/>
    <xf numFmtId="0" fontId="23" fillId="2" borderId="0"/>
    <xf numFmtId="49" fontId="20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65" fontId="26" fillId="0" borderId="0" applyFont="0" applyFill="0" applyBorder="0" applyAlignment="0" applyProtection="0"/>
    <xf numFmtId="168" fontId="24" fillId="0" borderId="0" applyFill="0" applyBorder="0" applyAlignment="0"/>
    <xf numFmtId="171" fontId="26" fillId="0" borderId="0" applyFill="0" applyBorder="0" applyAlignment="0"/>
    <xf numFmtId="168" fontId="24" fillId="0" borderId="0" applyFont="0" applyFill="0" applyBorder="0" applyAlignment="0" applyProtection="0"/>
    <xf numFmtId="168" fontId="24" fillId="0" borderId="0" applyFill="0" applyBorder="0" applyAlignment="0"/>
    <xf numFmtId="168" fontId="24" fillId="0" borderId="0" applyFill="0" applyBorder="0" applyAlignment="0"/>
    <xf numFmtId="171" fontId="26" fillId="0" borderId="0" applyFill="0" applyBorder="0" applyAlignment="0"/>
    <xf numFmtId="168" fontId="24" fillId="0" borderId="0" applyFill="0" applyBorder="0" applyAlignment="0"/>
    <xf numFmtId="168" fontId="24" fillId="0" borderId="0" applyFill="0" applyBorder="0" applyAlignment="0"/>
    <xf numFmtId="171" fontId="26" fillId="0" borderId="0" applyFill="0" applyBorder="0" applyAlignment="0"/>
    <xf numFmtId="0" fontId="4" fillId="0" borderId="0"/>
    <xf numFmtId="0" fontId="25" fillId="0" borderId="0"/>
    <xf numFmtId="0" fontId="3" fillId="0" borderId="0"/>
    <xf numFmtId="0" fontId="4" fillId="0" borderId="0"/>
    <xf numFmtId="168" fontId="24" fillId="0" borderId="0" applyFill="0" applyBorder="0" applyAlignment="0"/>
    <xf numFmtId="168" fontId="24" fillId="0" borderId="0" applyFill="0" applyBorder="0" applyAlignment="0"/>
    <xf numFmtId="171" fontId="26" fillId="0" borderId="0" applyFill="0" applyBorder="0" applyAlignment="0"/>
    <xf numFmtId="164" fontId="2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31" fillId="0" borderId="0"/>
    <xf numFmtId="0" fontId="37" fillId="0" borderId="0"/>
    <xf numFmtId="43" fontId="37" fillId="0" borderId="0" applyFont="0" applyFill="0" applyBorder="0" applyAlignment="0" applyProtection="0"/>
    <xf numFmtId="0" fontId="1" fillId="0" borderId="0"/>
  </cellStyleXfs>
  <cellXfs count="461">
    <xf numFmtId="0" fontId="0" fillId="0" borderId="0" xfId="0"/>
    <xf numFmtId="0" fontId="2" fillId="0" borderId="0" xfId="0" applyFont="1"/>
    <xf numFmtId="0" fontId="28" fillId="0" borderId="0" xfId="0" applyFont="1"/>
    <xf numFmtId="0" fontId="7" fillId="0" borderId="0" xfId="90" applyFont="1"/>
    <xf numFmtId="0" fontId="32" fillId="0" borderId="0" xfId="90" applyFont="1"/>
    <xf numFmtId="0" fontId="32" fillId="0" borderId="0" xfId="90" applyFont="1" applyAlignment="1">
      <alignment horizontal="center"/>
    </xf>
    <xf numFmtId="0" fontId="28" fillId="0" borderId="0" xfId="90" applyFont="1" applyAlignment="1">
      <alignment horizontal="center"/>
    </xf>
    <xf numFmtId="180" fontId="28" fillId="0" borderId="0" xfId="90" applyNumberFormat="1" applyFont="1" applyAlignment="1">
      <alignment horizontal="center"/>
    </xf>
    <xf numFmtId="0" fontId="28" fillId="0" borderId="0" xfId="90" applyFont="1"/>
    <xf numFmtId="0" fontId="34" fillId="0" borderId="0" xfId="0" applyFont="1"/>
    <xf numFmtId="0" fontId="7" fillId="0" borderId="0" xfId="90" applyFont="1" applyAlignment="1">
      <alignment horizontal="center"/>
    </xf>
    <xf numFmtId="0" fontId="7" fillId="0" borderId="0" xfId="90" applyFont="1" applyAlignment="1">
      <alignment horizontal="left"/>
    </xf>
    <xf numFmtId="2" fontId="7" fillId="0" borderId="0" xfId="90" applyNumberFormat="1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7" fillId="0" borderId="22" xfId="90" applyFont="1" applyBorder="1"/>
    <xf numFmtId="0" fontId="7" fillId="0" borderId="13" xfId="90" applyFont="1" applyBorder="1" applyAlignment="1">
      <alignment horizontal="center"/>
    </xf>
    <xf numFmtId="0" fontId="7" fillId="0" borderId="1" xfId="90" applyFont="1" applyBorder="1" applyAlignment="1">
      <alignment horizontal="center"/>
    </xf>
    <xf numFmtId="0" fontId="7" fillId="0" borderId="8" xfId="90" applyFont="1" applyBorder="1"/>
    <xf numFmtId="164" fontId="7" fillId="0" borderId="23" xfId="90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64" fontId="7" fillId="0" borderId="1" xfId="1" applyNumberFormat="1" applyFont="1" applyBorder="1" applyAlignment="1"/>
    <xf numFmtId="164" fontId="7" fillId="0" borderId="21" xfId="90" applyNumberFormat="1" applyFont="1" applyBorder="1" applyAlignment="1">
      <alignment horizontal="center"/>
    </xf>
    <xf numFmtId="0" fontId="7" fillId="0" borderId="10" xfId="90" applyFont="1" applyBorder="1"/>
    <xf numFmtId="0" fontId="7" fillId="0" borderId="11" xfId="90" applyFont="1" applyBorder="1"/>
    <xf numFmtId="0" fontId="7" fillId="0" borderId="11" xfId="90" applyFont="1" applyBorder="1" applyAlignment="1">
      <alignment horizontal="center"/>
    </xf>
    <xf numFmtId="0" fontId="7" fillId="6" borderId="13" xfId="90" applyFont="1" applyFill="1" applyBorder="1" applyAlignment="1">
      <alignment horizontal="center"/>
    </xf>
    <xf numFmtId="0" fontId="7" fillId="6" borderId="1" xfId="90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43" fontId="7" fillId="0" borderId="0" xfId="1" applyFont="1" applyBorder="1" applyAlignment="1">
      <alignment vertical="center"/>
    </xf>
    <xf numFmtId="0" fontId="7" fillId="0" borderId="0" xfId="90" applyFont="1" applyAlignment="1">
      <alignment horizontal="right"/>
    </xf>
    <xf numFmtId="43" fontId="7" fillId="0" borderId="11" xfId="1" applyFont="1" applyBorder="1"/>
    <xf numFmtId="43" fontId="28" fillId="0" borderId="24" xfId="1" applyFont="1" applyBorder="1" applyAlignment="1">
      <alignment vertical="center"/>
    </xf>
    <xf numFmtId="0" fontId="2" fillId="0" borderId="0" xfId="0" applyFont="1" applyAlignment="1">
      <alignment horizontal="right"/>
    </xf>
    <xf numFmtId="43" fontId="28" fillId="0" borderId="0" xfId="1" applyFont="1" applyBorder="1" applyAlignment="1">
      <alignment vertical="center"/>
    </xf>
    <xf numFmtId="2" fontId="7" fillId="6" borderId="19" xfId="90" applyNumberFormat="1" applyFont="1" applyFill="1" applyBorder="1" applyAlignment="1">
      <alignment horizontal="center"/>
    </xf>
    <xf numFmtId="43" fontId="2" fillId="0" borderId="0" xfId="0" applyNumberFormat="1" applyFont="1"/>
    <xf numFmtId="43" fontId="2" fillId="0" borderId="0" xfId="1" applyFont="1"/>
    <xf numFmtId="164" fontId="7" fillId="6" borderId="1" xfId="1" applyNumberFormat="1" applyFont="1" applyFill="1" applyBorder="1" applyAlignment="1"/>
    <xf numFmtId="164" fontId="7" fillId="6" borderId="13" xfId="1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" fontId="36" fillId="7" borderId="1" xfId="1" applyNumberFormat="1" applyFont="1" applyFill="1" applyBorder="1" applyAlignment="1">
      <alignment horizontal="right" indent="1"/>
    </xf>
    <xf numFmtId="0" fontId="28" fillId="0" borderId="1" xfId="67" applyFont="1" applyBorder="1" applyAlignment="1">
      <alignment horizontal="center"/>
    </xf>
    <xf numFmtId="0" fontId="28" fillId="0" borderId="13" xfId="67" applyFont="1" applyBorder="1" applyAlignment="1">
      <alignment horizontal="left"/>
    </xf>
    <xf numFmtId="164" fontId="7" fillId="0" borderId="1" xfId="65" applyNumberFormat="1" applyFont="1" applyBorder="1"/>
    <xf numFmtId="0" fontId="7" fillId="0" borderId="1" xfId="67" applyFont="1" applyBorder="1" applyAlignment="1">
      <alignment horizontal="center"/>
    </xf>
    <xf numFmtId="164" fontId="35" fillId="0" borderId="1" xfId="67" applyNumberFormat="1" applyFont="1" applyBorder="1"/>
    <xf numFmtId="164" fontId="7" fillId="0" borderId="1" xfId="65" applyNumberFormat="1" applyFont="1" applyBorder="1" applyAlignment="1"/>
    <xf numFmtId="0" fontId="7" fillId="0" borderId="1" xfId="67" applyFont="1" applyBorder="1"/>
    <xf numFmtId="0" fontId="7" fillId="0" borderId="37" xfId="67" applyFont="1" applyBorder="1"/>
    <xf numFmtId="164" fontId="35" fillId="0" borderId="1" xfId="65" applyNumberFormat="1" applyFont="1" applyBorder="1"/>
    <xf numFmtId="0" fontId="35" fillId="0" borderId="1" xfId="67" applyFont="1" applyBorder="1" applyAlignment="1">
      <alignment horizontal="center"/>
    </xf>
    <xf numFmtId="0" fontId="28" fillId="0" borderId="1" xfId="67" applyFont="1" applyBorder="1"/>
    <xf numFmtId="181" fontId="7" fillId="0" borderId="1" xfId="65" applyNumberFormat="1" applyFont="1" applyBorder="1"/>
    <xf numFmtId="0" fontId="2" fillId="0" borderId="37" xfId="0" applyFont="1" applyBorder="1" applyAlignment="1">
      <alignment horizontal="center"/>
    </xf>
    <xf numFmtId="43" fontId="7" fillId="0" borderId="1" xfId="65" applyFont="1" applyBorder="1"/>
    <xf numFmtId="4" fontId="2" fillId="0" borderId="1" xfId="1" applyNumberFormat="1" applyFont="1" applyFill="1" applyBorder="1" applyAlignment="1">
      <alignment horizontal="right" indent="1"/>
    </xf>
    <xf numFmtId="177" fontId="40" fillId="0" borderId="0" xfId="1" applyNumberFormat="1" applyFont="1"/>
    <xf numFmtId="177" fontId="41" fillId="0" borderId="0" xfId="0" applyNumberFormat="1" applyFont="1"/>
    <xf numFmtId="185" fontId="0" fillId="0" borderId="0" xfId="0" applyNumberFormat="1"/>
    <xf numFmtId="177" fontId="0" fillId="0" borderId="0" xfId="0" applyNumberFormat="1"/>
    <xf numFmtId="0" fontId="42" fillId="0" borderId="0" xfId="0" applyFont="1" applyAlignment="1">
      <alignment horizontal="center"/>
    </xf>
    <xf numFmtId="0" fontId="42" fillId="0" borderId="0" xfId="0" applyFont="1"/>
    <xf numFmtId="49" fontId="42" fillId="0" borderId="0" xfId="0" applyNumberFormat="1" applyFont="1"/>
    <xf numFmtId="4" fontId="43" fillId="0" borderId="2" xfId="104" applyNumberFormat="1" applyFont="1" applyBorder="1" applyAlignment="1">
      <alignment horizontal="center" vertical="center"/>
    </xf>
    <xf numFmtId="4" fontId="43" fillId="0" borderId="4" xfId="104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43" fontId="8" fillId="0" borderId="3" xfId="1" applyFont="1" applyBorder="1" applyAlignment="1">
      <alignment horizontal="right" vertical="center"/>
    </xf>
    <xf numFmtId="43" fontId="8" fillId="0" borderId="5" xfId="1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43" fontId="8" fillId="0" borderId="2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8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177" fontId="8" fillId="0" borderId="3" xfId="1" applyNumberFormat="1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43" fontId="8" fillId="0" borderId="0" xfId="1" applyFont="1" applyBorder="1" applyAlignment="1">
      <alignment horizontal="right" vertical="center"/>
    </xf>
    <xf numFmtId="43" fontId="8" fillId="0" borderId="9" xfId="1" applyFont="1" applyBorder="1" applyAlignment="1">
      <alignment vertical="center"/>
    </xf>
    <xf numFmtId="43" fontId="42" fillId="0" borderId="0" xfId="0" applyNumberFormat="1" applyFont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43" fontId="8" fillId="0" borderId="11" xfId="1" applyFont="1" applyBorder="1" applyAlignment="1">
      <alignment horizontal="right" vertical="center"/>
    </xf>
    <xf numFmtId="43" fontId="8" fillId="0" borderId="10" xfId="1" applyFont="1" applyBorder="1" applyAlignment="1">
      <alignment vertical="center"/>
    </xf>
    <xf numFmtId="43" fontId="8" fillId="0" borderId="12" xfId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43" fontId="8" fillId="0" borderId="4" xfId="1" applyFont="1" applyBorder="1" applyAlignment="1">
      <alignment vertical="center"/>
    </xf>
    <xf numFmtId="0" fontId="8" fillId="0" borderId="0" xfId="0" applyFont="1"/>
    <xf numFmtId="0" fontId="43" fillId="0" borderId="0" xfId="0" applyFont="1" applyAlignment="1">
      <alignment horizontal="right"/>
    </xf>
    <xf numFmtId="0" fontId="43" fillId="0" borderId="0" xfId="0" applyFont="1"/>
    <xf numFmtId="0" fontId="8" fillId="0" borderId="0" xfId="0" applyFont="1" applyAlignment="1">
      <alignment horizontal="center"/>
    </xf>
    <xf numFmtId="178" fontId="8" fillId="0" borderId="0" xfId="0" applyNumberFormat="1" applyFont="1" applyAlignment="1">
      <alignment horizontal="right" vertical="center"/>
    </xf>
    <xf numFmtId="43" fontId="43" fillId="0" borderId="1" xfId="1" applyFont="1" applyBorder="1"/>
    <xf numFmtId="43" fontId="43" fillId="0" borderId="2" xfId="1" applyFont="1" applyBorder="1" applyAlignment="1">
      <alignment vertical="center"/>
    </xf>
    <xf numFmtId="43" fontId="43" fillId="0" borderId="26" xfId="1" applyFont="1" applyBorder="1"/>
    <xf numFmtId="4" fontId="8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105" applyFont="1"/>
    <xf numFmtId="43" fontId="42" fillId="0" borderId="0" xfId="1" applyFont="1"/>
    <xf numFmtId="178" fontId="8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/>
    </xf>
    <xf numFmtId="0" fontId="44" fillId="8" borderId="0" xfId="90" applyFont="1" applyFill="1"/>
    <xf numFmtId="0" fontId="8" fillId="8" borderId="0" xfId="0" applyFont="1" applyFill="1"/>
    <xf numFmtId="43" fontId="8" fillId="8" borderId="0" xfId="1" applyFont="1" applyFill="1"/>
    <xf numFmtId="0" fontId="8" fillId="8" borderId="0" xfId="90" applyFont="1" applyFill="1" applyAlignment="1">
      <alignment horizontal="center"/>
    </xf>
    <xf numFmtId="43" fontId="8" fillId="8" borderId="19" xfId="1" applyFont="1" applyFill="1" applyBorder="1" applyAlignment="1">
      <alignment vertical="center"/>
    </xf>
    <xf numFmtId="0" fontId="8" fillId="8" borderId="0" xfId="0" applyFont="1" applyFill="1" applyAlignment="1">
      <alignment horizontal="right"/>
    </xf>
    <xf numFmtId="43" fontId="8" fillId="8" borderId="16" xfId="1" applyFont="1" applyFill="1" applyBorder="1"/>
    <xf numFmtId="0" fontId="44" fillId="8" borderId="0" xfId="0" applyFont="1" applyFill="1" applyProtection="1">
      <protection hidden="1"/>
    </xf>
    <xf numFmtId="0" fontId="8" fillId="8" borderId="0" xfId="0" applyFont="1" applyFill="1" applyProtection="1">
      <protection hidden="1"/>
    </xf>
    <xf numFmtId="0" fontId="8" fillId="8" borderId="0" xfId="0" applyFont="1" applyFill="1" applyAlignment="1" applyProtection="1">
      <alignment horizontal="right"/>
      <protection hidden="1"/>
    </xf>
    <xf numFmtId="43" fontId="8" fillId="8" borderId="25" xfId="1" applyFont="1" applyFill="1" applyBorder="1" applyAlignment="1" applyProtection="1">
      <protection hidden="1"/>
    </xf>
    <xf numFmtId="0" fontId="8" fillId="8" borderId="0" xfId="0" applyFont="1" applyFill="1" applyAlignment="1" applyProtection="1">
      <alignment horizontal="center"/>
      <protection hidden="1"/>
    </xf>
    <xf numFmtId="0" fontId="8" fillId="8" borderId="0" xfId="0" applyFont="1" applyFill="1" applyAlignment="1" applyProtection="1">
      <alignment horizontal="left"/>
      <protection hidden="1"/>
    </xf>
    <xf numFmtId="43" fontId="8" fillId="8" borderId="20" xfId="1" applyFont="1" applyFill="1" applyBorder="1" applyAlignment="1" applyProtection="1">
      <protection hidden="1"/>
    </xf>
    <xf numFmtId="43" fontId="8" fillId="8" borderId="20" xfId="1" applyFont="1" applyFill="1" applyBorder="1" applyAlignment="1">
      <alignment horizontal="right" indent="1"/>
    </xf>
    <xf numFmtId="164" fontId="8" fillId="8" borderId="0" xfId="0" applyNumberFormat="1" applyFont="1" applyFill="1" applyAlignment="1" applyProtection="1">
      <alignment horizontal="right"/>
      <protection hidden="1"/>
    </xf>
    <xf numFmtId="181" fontId="8" fillId="8" borderId="0" xfId="1" applyNumberFormat="1" applyFont="1" applyFill="1" applyBorder="1" applyAlignment="1" applyProtection="1">
      <alignment horizontal="center"/>
      <protection hidden="1"/>
    </xf>
    <xf numFmtId="43" fontId="8" fillId="8" borderId="0" xfId="1" applyFont="1" applyFill="1" applyBorder="1" applyAlignment="1" applyProtection="1">
      <protection hidden="1"/>
    </xf>
    <xf numFmtId="0" fontId="8" fillId="8" borderId="0" xfId="0" quotePrefix="1" applyFont="1" applyFill="1" applyAlignment="1" applyProtection="1">
      <alignment horizontal="left"/>
      <protection hidden="1"/>
    </xf>
    <xf numFmtId="43" fontId="8" fillId="8" borderId="11" xfId="1" applyFont="1" applyFill="1" applyBorder="1" applyAlignment="1">
      <alignment horizontal="right" indent="1"/>
    </xf>
    <xf numFmtId="43" fontId="8" fillId="8" borderId="0" xfId="1" applyFont="1" applyFill="1" applyBorder="1"/>
    <xf numFmtId="181" fontId="8" fillId="8" borderId="25" xfId="1" applyNumberFormat="1" applyFont="1" applyFill="1" applyBorder="1" applyAlignment="1" applyProtection="1">
      <protection hidden="1"/>
    </xf>
    <xf numFmtId="181" fontId="8" fillId="8" borderId="20" xfId="1" applyNumberFormat="1" applyFont="1" applyFill="1" applyBorder="1" applyAlignment="1" applyProtection="1">
      <protection hidden="1"/>
    </xf>
    <xf numFmtId="181" fontId="8" fillId="8" borderId="20" xfId="1" applyNumberFormat="1" applyFont="1" applyFill="1" applyBorder="1" applyAlignment="1"/>
    <xf numFmtId="164" fontId="8" fillId="8" borderId="20" xfId="1" applyNumberFormat="1" applyFont="1" applyFill="1" applyBorder="1" applyAlignment="1" applyProtection="1">
      <protection hidden="1"/>
    </xf>
    <xf numFmtId="43" fontId="8" fillId="8" borderId="16" xfId="0" applyNumberFormat="1" applyFont="1" applyFill="1" applyBorder="1"/>
    <xf numFmtId="43" fontId="8" fillId="8" borderId="0" xfId="0" applyNumberFormat="1" applyFont="1" applyFill="1"/>
    <xf numFmtId="164" fontId="8" fillId="8" borderId="11" xfId="1" applyNumberFormat="1" applyFont="1" applyFill="1" applyBorder="1" applyAlignment="1">
      <alignment horizontal="right" indent="1"/>
    </xf>
    <xf numFmtId="164" fontId="8" fillId="8" borderId="20" xfId="1" applyNumberFormat="1" applyFont="1" applyFill="1" applyBorder="1" applyAlignment="1"/>
    <xf numFmtId="164" fontId="8" fillId="8" borderId="11" xfId="1" applyNumberFormat="1" applyFont="1" applyFill="1" applyBorder="1" applyAlignment="1"/>
    <xf numFmtId="164" fontId="8" fillId="8" borderId="16" xfId="0" applyNumberFormat="1" applyFont="1" applyFill="1" applyBorder="1"/>
    <xf numFmtId="164" fontId="8" fillId="8" borderId="0" xfId="0" applyNumberFormat="1" applyFont="1" applyFill="1"/>
    <xf numFmtId="164" fontId="8" fillId="8" borderId="25" xfId="1" applyNumberFormat="1" applyFont="1" applyFill="1" applyBorder="1" applyAlignment="1" applyProtection="1">
      <protection hidden="1"/>
    </xf>
    <xf numFmtId="43" fontId="8" fillId="8" borderId="11" xfId="1" applyFont="1" applyFill="1" applyBorder="1" applyAlignment="1"/>
    <xf numFmtId="0" fontId="44" fillId="8" borderId="0" xfId="0" applyFont="1" applyFill="1"/>
    <xf numFmtId="43" fontId="8" fillId="8" borderId="36" xfId="0" applyNumberFormat="1" applyFont="1" applyFill="1" applyBorder="1"/>
    <xf numFmtId="0" fontId="8" fillId="8" borderId="0" xfId="0" applyFont="1" applyFill="1" applyAlignment="1">
      <alignment horizontal="center"/>
    </xf>
    <xf numFmtId="0" fontId="8" fillId="8" borderId="0" xfId="90" applyFont="1" applyFill="1"/>
    <xf numFmtId="0" fontId="44" fillId="8" borderId="0" xfId="90" applyFont="1" applyFill="1" applyAlignment="1">
      <alignment horizontal="center"/>
    </xf>
    <xf numFmtId="0" fontId="43" fillId="8" borderId="0" xfId="90" applyFont="1" applyFill="1" applyAlignment="1">
      <alignment horizontal="center"/>
    </xf>
    <xf numFmtId="180" fontId="43" fillId="8" borderId="19" xfId="90" applyNumberFormat="1" applyFont="1" applyFill="1" applyBorder="1" applyAlignment="1">
      <alignment horizontal="center"/>
    </xf>
    <xf numFmtId="0" fontId="43" fillId="8" borderId="0" xfId="90" applyFont="1" applyFill="1"/>
    <xf numFmtId="180" fontId="43" fillId="8" borderId="0" xfId="90" applyNumberFormat="1" applyFont="1" applyFill="1" applyAlignment="1">
      <alignment horizontal="center"/>
    </xf>
    <xf numFmtId="43" fontId="8" fillId="8" borderId="0" xfId="1" applyFont="1" applyFill="1" applyBorder="1" applyAlignment="1">
      <alignment vertical="center"/>
    </xf>
    <xf numFmtId="0" fontId="43" fillId="8" borderId="0" xfId="0" applyFont="1" applyFill="1"/>
    <xf numFmtId="2" fontId="8" fillId="8" borderId="0" xfId="90" applyNumberFormat="1" applyFont="1" applyFill="1"/>
    <xf numFmtId="43" fontId="8" fillId="8" borderId="20" xfId="1" applyFont="1" applyFill="1" applyBorder="1" applyAlignment="1"/>
    <xf numFmtId="0" fontId="8" fillId="8" borderId="0" xfId="90" applyFont="1" applyFill="1" applyAlignment="1">
      <alignment horizontal="left"/>
    </xf>
    <xf numFmtId="0" fontId="8" fillId="8" borderId="0" xfId="90" applyFont="1" applyFill="1" applyAlignment="1">
      <alignment horizontal="right"/>
    </xf>
    <xf numFmtId="2" fontId="8" fillId="8" borderId="0" xfId="0" applyNumberFormat="1" applyFont="1" applyFill="1"/>
    <xf numFmtId="43" fontId="8" fillId="8" borderId="21" xfId="1" applyFont="1" applyFill="1" applyBorder="1" applyAlignment="1">
      <alignment horizontal="center"/>
    </xf>
    <xf numFmtId="4" fontId="8" fillId="8" borderId="22" xfId="90" applyNumberFormat="1" applyFont="1" applyFill="1" applyBorder="1" applyAlignment="1">
      <alignment horizontal="center"/>
    </xf>
    <xf numFmtId="4" fontId="8" fillId="8" borderId="0" xfId="90" applyNumberFormat="1" applyFont="1" applyFill="1"/>
    <xf numFmtId="0" fontId="8" fillId="8" borderId="0" xfId="90" applyFont="1" applyFill="1" applyAlignment="1">
      <alignment horizontal="center" vertical="center"/>
    </xf>
    <xf numFmtId="0" fontId="8" fillId="8" borderId="22" xfId="90" applyFont="1" applyFill="1" applyBorder="1"/>
    <xf numFmtId="43" fontId="8" fillId="8" borderId="11" xfId="1" applyFont="1" applyFill="1" applyBorder="1"/>
    <xf numFmtId="43" fontId="8" fillId="8" borderId="15" xfId="1" applyFont="1" applyFill="1" applyBorder="1" applyAlignment="1">
      <alignment vertical="center"/>
    </xf>
    <xf numFmtId="43" fontId="43" fillId="8" borderId="24" xfId="1" applyFont="1" applyFill="1" applyBorder="1" applyAlignment="1">
      <alignment vertical="center"/>
    </xf>
    <xf numFmtId="180" fontId="8" fillId="8" borderId="19" xfId="0" applyNumberFormat="1" applyFont="1" applyFill="1" applyBorder="1"/>
    <xf numFmtId="43" fontId="8" fillId="8" borderId="0" xfId="1" applyFont="1" applyFill="1" applyBorder="1" applyAlignment="1"/>
    <xf numFmtId="4" fontId="8" fillId="8" borderId="11" xfId="1" applyNumberFormat="1" applyFont="1" applyFill="1" applyBorder="1" applyAlignment="1"/>
    <xf numFmtId="43" fontId="8" fillId="8" borderId="0" xfId="0" applyNumberFormat="1" applyFont="1" applyFill="1" applyAlignment="1">
      <alignment horizontal="center"/>
    </xf>
    <xf numFmtId="4" fontId="8" fillId="8" borderId="0" xfId="0" applyNumberFormat="1" applyFont="1" applyFill="1"/>
    <xf numFmtId="4" fontId="8" fillId="8" borderId="11" xfId="1" applyNumberFormat="1" applyFont="1" applyFill="1" applyBorder="1" applyAlignment="1">
      <alignment horizontal="right" indent="1"/>
    </xf>
    <xf numFmtId="0" fontId="8" fillId="8" borderId="19" xfId="0" applyFont="1" applyFill="1" applyBorder="1"/>
    <xf numFmtId="49" fontId="8" fillId="8" borderId="0" xfId="0" applyNumberFormat="1" applyFont="1" applyFill="1"/>
    <xf numFmtId="0" fontId="8" fillId="8" borderId="0" xfId="0" applyFont="1" applyFill="1" applyAlignment="1">
      <alignment vertical="top"/>
    </xf>
    <xf numFmtId="0" fontId="8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top"/>
    </xf>
    <xf numFmtId="0" fontId="8" fillId="8" borderId="0" xfId="80" applyFont="1" applyFill="1"/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8" fillId="8" borderId="27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left"/>
    </xf>
    <xf numFmtId="0" fontId="8" fillId="8" borderId="23" xfId="0" applyFont="1" applyFill="1" applyBorder="1" applyAlignment="1">
      <alignment horizontal="center"/>
    </xf>
    <xf numFmtId="0" fontId="8" fillId="8" borderId="28" xfId="0" applyFont="1" applyFill="1" applyBorder="1" applyAlignment="1">
      <alignment horizontal="center"/>
    </xf>
    <xf numFmtId="43" fontId="8" fillId="9" borderId="27" xfId="1" applyFont="1" applyFill="1" applyBorder="1" applyAlignment="1">
      <alignment horizontal="center"/>
    </xf>
    <xf numFmtId="43" fontId="8" fillId="9" borderId="27" xfId="1" applyFont="1" applyFill="1" applyBorder="1"/>
    <xf numFmtId="43" fontId="8" fillId="12" borderId="29" xfId="1" applyFont="1" applyFill="1" applyBorder="1"/>
    <xf numFmtId="43" fontId="8" fillId="8" borderId="27" xfId="1" applyFont="1" applyFill="1" applyBorder="1"/>
    <xf numFmtId="43" fontId="8" fillId="8" borderId="27" xfId="1" applyFont="1" applyFill="1" applyBorder="1" applyAlignment="1">
      <alignment horizontal="center"/>
    </xf>
    <xf numFmtId="0" fontId="8" fillId="8" borderId="29" xfId="0" applyFont="1" applyFill="1" applyBorder="1" applyAlignment="1">
      <alignment horizontal="center"/>
    </xf>
    <xf numFmtId="0" fontId="8" fillId="8" borderId="21" xfId="67" applyFont="1" applyFill="1" applyBorder="1"/>
    <xf numFmtId="0" fontId="8" fillId="8" borderId="21" xfId="0" applyFont="1" applyFill="1" applyBorder="1"/>
    <xf numFmtId="0" fontId="8" fillId="8" borderId="30" xfId="0" applyFont="1" applyFill="1" applyBorder="1"/>
    <xf numFmtId="43" fontId="8" fillId="9" borderId="29" xfId="1" applyFont="1" applyFill="1" applyBorder="1"/>
    <xf numFmtId="43" fontId="8" fillId="8" borderId="29" xfId="1" applyFont="1" applyFill="1" applyBorder="1"/>
    <xf numFmtId="43" fontId="8" fillId="8" borderId="29" xfId="1" applyFont="1" applyFill="1" applyBorder="1" applyAlignment="1">
      <alignment horizontal="center"/>
    </xf>
    <xf numFmtId="0" fontId="8" fillId="8" borderId="21" xfId="98" applyFont="1" applyFill="1" applyBorder="1"/>
    <xf numFmtId="43" fontId="8" fillId="9" borderId="29" xfId="1" applyFont="1" applyFill="1" applyBorder="1" applyAlignment="1">
      <alignment horizontal="right" vertical="center" indent="1"/>
    </xf>
    <xf numFmtId="0" fontId="8" fillId="8" borderId="21" xfId="100" applyFont="1" applyFill="1" applyBorder="1"/>
    <xf numFmtId="0" fontId="8" fillId="8" borderId="21" xfId="0" applyFont="1" applyFill="1" applyBorder="1" applyAlignment="1">
      <alignment horizontal="left"/>
    </xf>
    <xf numFmtId="0" fontId="8" fillId="8" borderId="31" xfId="0" applyFont="1" applyFill="1" applyBorder="1" applyAlignment="1">
      <alignment horizontal="left"/>
    </xf>
    <xf numFmtId="0" fontId="8" fillId="8" borderId="32" xfId="0" applyFont="1" applyFill="1" applyBorder="1" applyAlignment="1">
      <alignment horizontal="center"/>
    </xf>
    <xf numFmtId="0" fontId="8" fillId="8" borderId="33" xfId="0" applyFont="1" applyFill="1" applyBorder="1"/>
    <xf numFmtId="0" fontId="8" fillId="8" borderId="34" xfId="0" applyFont="1" applyFill="1" applyBorder="1"/>
    <xf numFmtId="0" fontId="8" fillId="8" borderId="35" xfId="0" applyFont="1" applyFill="1" applyBorder="1"/>
    <xf numFmtId="0" fontId="8" fillId="8" borderId="32" xfId="0" applyFont="1" applyFill="1" applyBorder="1"/>
    <xf numFmtId="43" fontId="8" fillId="8" borderId="32" xfId="1" applyFont="1" applyFill="1" applyBorder="1"/>
    <xf numFmtId="43" fontId="42" fillId="0" borderId="0" xfId="1" applyFont="1" applyBorder="1" applyAlignment="1">
      <alignment horizontal="center"/>
    </xf>
    <xf numFmtId="0" fontId="46" fillId="0" borderId="0" xfId="0" applyFont="1"/>
    <xf numFmtId="0" fontId="43" fillId="0" borderId="0" xfId="0" applyFont="1" applyAlignment="1">
      <alignment horizontal="center"/>
    </xf>
    <xf numFmtId="182" fontId="8" fillId="0" borderId="0" xfId="1" applyNumberFormat="1" applyFont="1" applyBorder="1"/>
    <xf numFmtId="43" fontId="47" fillId="0" borderId="0" xfId="1" applyFont="1" applyBorder="1" applyAlignment="1">
      <alignment horizontal="center"/>
    </xf>
    <xf numFmtId="164" fontId="8" fillId="0" borderId="0" xfId="1" applyNumberFormat="1" applyFont="1" applyBorder="1"/>
    <xf numFmtId="43" fontId="8" fillId="0" borderId="0" xfId="1" applyFont="1" applyFill="1" applyBorder="1" applyAlignment="1"/>
    <xf numFmtId="164" fontId="8" fillId="0" borderId="0" xfId="1" applyNumberFormat="1" applyFont="1" applyBorder="1" applyAlignment="1"/>
    <xf numFmtId="0" fontId="8" fillId="0" borderId="0" xfId="0" applyFont="1" applyAlignment="1">
      <alignment horizontal="right"/>
    </xf>
    <xf numFmtId="43" fontId="48" fillId="0" borderId="0" xfId="1" applyFont="1" applyBorder="1" applyAlignment="1">
      <alignment horizontal="center"/>
    </xf>
    <xf numFmtId="43" fontId="42" fillId="0" borderId="0" xfId="1" applyFont="1" applyBorder="1" applyAlignment="1">
      <alignment horizontal="right" indent="1"/>
    </xf>
    <xf numFmtId="43" fontId="8" fillId="0" borderId="0" xfId="1" applyFont="1" applyBorder="1"/>
    <xf numFmtId="43" fontId="8" fillId="0" borderId="0" xfId="1" applyFont="1" applyBorder="1" applyAlignment="1">
      <alignment horizontal="center"/>
    </xf>
    <xf numFmtId="43" fontId="8" fillId="0" borderId="0" xfId="1" applyFont="1" applyBorder="1" applyAlignment="1">
      <alignment horizontal="right" indent="1"/>
    </xf>
    <xf numFmtId="0" fontId="47" fillId="0" borderId="0" xfId="0" applyFont="1" applyAlignment="1">
      <alignment horizontal="center"/>
    </xf>
    <xf numFmtId="164" fontId="8" fillId="6" borderId="0" xfId="1" applyNumberFormat="1" applyFont="1" applyFill="1" applyBorder="1" applyAlignment="1"/>
    <xf numFmtId="0" fontId="42" fillId="0" borderId="0" xfId="0" applyFont="1" applyAlignment="1">
      <alignment horizontal="right"/>
    </xf>
    <xf numFmtId="43" fontId="47" fillId="7" borderId="24" xfId="0" applyNumberFormat="1" applyFont="1" applyFill="1" applyBorder="1"/>
    <xf numFmtId="0" fontId="43" fillId="0" borderId="0" xfId="1" applyNumberFormat="1" applyFont="1" applyFill="1" applyAlignment="1">
      <alignment horizontal="center"/>
    </xf>
    <xf numFmtId="0" fontId="43" fillId="0" borderId="11" xfId="0" applyFont="1" applyBorder="1"/>
    <xf numFmtId="0" fontId="8" fillId="0" borderId="11" xfId="0" applyFont="1" applyBorder="1"/>
    <xf numFmtId="4" fontId="8" fillId="0" borderId="0" xfId="0" applyNumberFormat="1" applyFont="1"/>
    <xf numFmtId="43" fontId="8" fillId="0" borderId="0" xfId="1" applyFont="1" applyBorder="1" applyAlignment="1">
      <alignment horizontal="right" vertical="center" indent="1"/>
    </xf>
    <xf numFmtId="0" fontId="44" fillId="0" borderId="0" xfId="0" applyFont="1"/>
    <xf numFmtId="2" fontId="8" fillId="0" borderId="0" xfId="0" applyNumberFormat="1" applyFont="1"/>
    <xf numFmtId="43" fontId="42" fillId="0" borderId="11" xfId="1" applyFont="1" applyBorder="1" applyAlignment="1">
      <alignment horizontal="right" indent="1"/>
    </xf>
    <xf numFmtId="43" fontId="47" fillId="7" borderId="16" xfId="0" applyNumberFormat="1" applyFont="1" applyFill="1" applyBorder="1"/>
    <xf numFmtId="0" fontId="49" fillId="0" borderId="0" xfId="0" applyFont="1"/>
    <xf numFmtId="0" fontId="8" fillId="0" borderId="0" xfId="0" applyFont="1" applyAlignment="1">
      <alignment horizontal="left"/>
    </xf>
    <xf numFmtId="2" fontId="8" fillId="0" borderId="11" xfId="0" applyNumberFormat="1" applyFont="1" applyBorder="1"/>
    <xf numFmtId="0" fontId="50" fillId="8" borderId="0" xfId="0" applyFont="1" applyFill="1"/>
    <xf numFmtId="49" fontId="50" fillId="8" borderId="0" xfId="0" applyNumberFormat="1" applyFont="1" applyFill="1"/>
    <xf numFmtId="0" fontId="50" fillId="8" borderId="0" xfId="0" applyFont="1" applyFill="1" applyAlignment="1">
      <alignment vertical="top"/>
    </xf>
    <xf numFmtId="0" fontId="50" fillId="8" borderId="0" xfId="0" applyFont="1" applyFill="1" applyAlignment="1">
      <alignment horizontal="right"/>
    </xf>
    <xf numFmtId="4" fontId="51" fillId="8" borderId="2" xfId="104" applyNumberFormat="1" applyFont="1" applyFill="1" applyBorder="1" applyAlignment="1">
      <alignment horizontal="center" vertical="center"/>
    </xf>
    <xf numFmtId="4" fontId="51" fillId="8" borderId="4" xfId="104" applyNumberFormat="1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6" xfId="0" applyFont="1" applyFill="1" applyBorder="1" applyAlignment="1">
      <alignment horizontal="left" vertical="center"/>
    </xf>
    <xf numFmtId="0" fontId="51" fillId="8" borderId="6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43" fontId="50" fillId="8" borderId="3" xfId="1" applyFont="1" applyFill="1" applyBorder="1" applyAlignment="1">
      <alignment horizontal="right" vertical="center"/>
    </xf>
    <xf numFmtId="177" fontId="50" fillId="8" borderId="3" xfId="1" applyNumberFormat="1" applyFont="1" applyFill="1" applyBorder="1" applyAlignment="1">
      <alignment vertical="center"/>
    </xf>
    <xf numFmtId="43" fontId="50" fillId="8" borderId="8" xfId="1" applyFont="1" applyFill="1" applyBorder="1" applyAlignment="1">
      <alignment vertical="center"/>
    </xf>
    <xf numFmtId="43" fontId="50" fillId="8" borderId="3" xfId="1" applyFont="1" applyFill="1" applyBorder="1" applyAlignment="1">
      <alignment vertical="center"/>
    </xf>
    <xf numFmtId="0" fontId="51" fillId="8" borderId="3" xfId="0" applyFont="1" applyFill="1" applyBorder="1" applyAlignment="1">
      <alignment horizontal="center" vertical="center"/>
    </xf>
    <xf numFmtId="0" fontId="50" fillId="8" borderId="0" xfId="0" applyFont="1" applyFill="1" applyAlignment="1">
      <alignment horizontal="left" vertical="center"/>
    </xf>
    <xf numFmtId="0" fontId="50" fillId="8" borderId="0" xfId="0" applyFont="1" applyFill="1" applyAlignment="1">
      <alignment horizontal="center" vertical="center"/>
    </xf>
    <xf numFmtId="0" fontId="50" fillId="8" borderId="9" xfId="0" applyFont="1" applyFill="1" applyBorder="1" applyAlignment="1">
      <alignment vertical="center"/>
    </xf>
    <xf numFmtId="0" fontId="51" fillId="8" borderId="0" xfId="0" applyFont="1" applyFill="1" applyAlignment="1">
      <alignment horizontal="left" vertical="center"/>
    </xf>
    <xf numFmtId="0" fontId="50" fillId="8" borderId="0" xfId="0" applyFont="1" applyFill="1" applyAlignment="1">
      <alignment vertical="center"/>
    </xf>
    <xf numFmtId="0" fontId="50" fillId="8" borderId="9" xfId="0" applyFont="1" applyFill="1" applyBorder="1" applyAlignment="1">
      <alignment horizontal="center" vertical="center"/>
    </xf>
    <xf numFmtId="43" fontId="50" fillId="8" borderId="9" xfId="1" applyFont="1" applyFill="1" applyBorder="1" applyAlignment="1">
      <alignment vertical="center"/>
    </xf>
    <xf numFmtId="177" fontId="50" fillId="8" borderId="0" xfId="1" applyNumberFormat="1" applyFont="1" applyFill="1" applyBorder="1" applyAlignment="1">
      <alignment vertical="center"/>
    </xf>
    <xf numFmtId="43" fontId="50" fillId="8" borderId="0" xfId="1" applyFont="1" applyFill="1" applyBorder="1" applyAlignment="1">
      <alignment horizontal="right" vertical="center"/>
    </xf>
    <xf numFmtId="43" fontId="50" fillId="8" borderId="8" xfId="1" applyFont="1" applyFill="1" applyBorder="1" applyAlignment="1">
      <alignment horizontal="center" vertical="center"/>
    </xf>
    <xf numFmtId="43" fontId="50" fillId="8" borderId="9" xfId="1" applyFont="1" applyFill="1" applyBorder="1" applyAlignment="1">
      <alignment horizontal="center" vertical="center"/>
    </xf>
    <xf numFmtId="43" fontId="50" fillId="8" borderId="0" xfId="0" applyNumberFormat="1" applyFont="1" applyFill="1"/>
    <xf numFmtId="0" fontId="51" fillId="8" borderId="4" xfId="0" applyFont="1" applyFill="1" applyBorder="1" applyAlignment="1">
      <alignment horizontal="center" vertical="center"/>
    </xf>
    <xf numFmtId="0" fontId="50" fillId="8" borderId="11" xfId="0" applyFont="1" applyFill="1" applyBorder="1" applyAlignment="1">
      <alignment horizontal="left" vertical="center"/>
    </xf>
    <xf numFmtId="0" fontId="50" fillId="8" borderId="11" xfId="0" applyFont="1" applyFill="1" applyBorder="1" applyAlignment="1">
      <alignment horizontal="center" vertical="center"/>
    </xf>
    <xf numFmtId="0" fontId="50" fillId="8" borderId="12" xfId="0" applyFont="1" applyFill="1" applyBorder="1" applyAlignment="1">
      <alignment vertical="center"/>
    </xf>
    <xf numFmtId="0" fontId="50" fillId="8" borderId="12" xfId="0" applyFont="1" applyFill="1" applyBorder="1" applyAlignment="1">
      <alignment horizontal="center" vertical="center"/>
    </xf>
    <xf numFmtId="43" fontId="50" fillId="8" borderId="11" xfId="1" applyFont="1" applyFill="1" applyBorder="1" applyAlignment="1">
      <alignment horizontal="right" vertical="center"/>
    </xf>
    <xf numFmtId="43" fontId="50" fillId="8" borderId="10" xfId="1" applyFont="1" applyFill="1" applyBorder="1" applyAlignment="1">
      <alignment vertical="center"/>
    </xf>
    <xf numFmtId="43" fontId="50" fillId="8" borderId="12" xfId="1" applyFont="1" applyFill="1" applyBorder="1" applyAlignment="1">
      <alignment vertical="center"/>
    </xf>
    <xf numFmtId="177" fontId="50" fillId="8" borderId="4" xfId="1" applyNumberFormat="1" applyFont="1" applyFill="1" applyBorder="1" applyAlignment="1">
      <alignment vertical="center"/>
    </xf>
    <xf numFmtId="43" fontId="50" fillId="8" borderId="4" xfId="1" applyFont="1" applyFill="1" applyBorder="1" applyAlignment="1">
      <alignment vertical="center"/>
    </xf>
    <xf numFmtId="0" fontId="51" fillId="8" borderId="0" xfId="0" applyFont="1" applyFill="1" applyAlignment="1">
      <alignment horizontal="right"/>
    </xf>
    <xf numFmtId="0" fontId="51" fillId="8" borderId="0" xfId="0" applyFont="1" applyFill="1"/>
    <xf numFmtId="0" fontId="50" fillId="8" borderId="0" xfId="0" applyFont="1" applyFill="1" applyAlignment="1">
      <alignment horizontal="center"/>
    </xf>
    <xf numFmtId="178" fontId="50" fillId="8" borderId="0" xfId="0" applyNumberFormat="1" applyFont="1" applyFill="1" applyAlignment="1">
      <alignment horizontal="right" vertical="center"/>
    </xf>
    <xf numFmtId="43" fontId="51" fillId="8" borderId="1" xfId="1" applyFont="1" applyFill="1" applyBorder="1"/>
    <xf numFmtId="43" fontId="51" fillId="8" borderId="26" xfId="1" applyFont="1" applyFill="1" applyBorder="1"/>
    <xf numFmtId="0" fontId="50" fillId="8" borderId="0" xfId="105" applyFont="1" applyFill="1"/>
    <xf numFmtId="43" fontId="50" fillId="8" borderId="0" xfId="1" applyFont="1" applyFill="1"/>
    <xf numFmtId="4" fontId="50" fillId="8" borderId="14" xfId="0" applyNumberFormat="1" applyFont="1" applyFill="1" applyBorder="1" applyAlignment="1">
      <alignment horizontal="center" vertical="center"/>
    </xf>
    <xf numFmtId="178" fontId="50" fillId="8" borderId="0" xfId="0" applyNumberFormat="1" applyFont="1" applyFill="1" applyAlignment="1">
      <alignment horizontal="center" vertical="center"/>
    </xf>
    <xf numFmtId="4" fontId="50" fillId="8" borderId="0" xfId="0" applyNumberFormat="1" applyFont="1" applyFill="1"/>
    <xf numFmtId="4" fontId="50" fillId="8" borderId="0" xfId="0" applyNumberFormat="1" applyFont="1" applyFill="1" applyAlignment="1">
      <alignment horizontal="center"/>
    </xf>
    <xf numFmtId="0" fontId="50" fillId="8" borderId="0" xfId="0" applyFont="1" applyFill="1" applyAlignment="1">
      <alignment horizontal="left"/>
    </xf>
    <xf numFmtId="0" fontId="50" fillId="8" borderId="4" xfId="0" applyFont="1" applyFill="1" applyBorder="1" applyAlignment="1">
      <alignment horizontal="center" vertical="center"/>
    </xf>
    <xf numFmtId="43" fontId="50" fillId="8" borderId="4" xfId="1" applyFont="1" applyFill="1" applyBorder="1" applyAlignment="1">
      <alignment horizontal="right" vertical="center"/>
    </xf>
    <xf numFmtId="0" fontId="52" fillId="8" borderId="0" xfId="0" applyFont="1" applyFill="1"/>
    <xf numFmtId="43" fontId="51" fillId="8" borderId="0" xfId="1" applyFont="1" applyFill="1" applyBorder="1"/>
    <xf numFmtId="43" fontId="8" fillId="13" borderId="29" xfId="1" applyFont="1" applyFill="1" applyBorder="1"/>
    <xf numFmtId="43" fontId="50" fillId="8" borderId="8" xfId="1" applyFont="1" applyFill="1" applyBorder="1" applyAlignment="1">
      <alignment horizontal="center" vertical="center"/>
    </xf>
    <xf numFmtId="43" fontId="50" fillId="8" borderId="9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9" xfId="0" applyFont="1" applyBorder="1"/>
    <xf numFmtId="43" fontId="8" fillId="0" borderId="29" xfId="1" applyFont="1" applyBorder="1"/>
    <xf numFmtId="0" fontId="8" fillId="0" borderId="29" xfId="0" applyFont="1" applyBorder="1" applyAlignment="1">
      <alignment horizontal="center" vertical="center"/>
    </xf>
    <xf numFmtId="43" fontId="8" fillId="0" borderId="27" xfId="1" applyFont="1" applyBorder="1"/>
    <xf numFmtId="0" fontId="8" fillId="0" borderId="27" xfId="0" applyFont="1" applyBorder="1"/>
    <xf numFmtId="0" fontId="8" fillId="0" borderId="38" xfId="0" applyFont="1" applyBorder="1"/>
    <xf numFmtId="0" fontId="8" fillId="0" borderId="32" xfId="0" applyFont="1" applyBorder="1"/>
    <xf numFmtId="43" fontId="8" fillId="0" borderId="32" xfId="1" applyFont="1" applyBorder="1"/>
    <xf numFmtId="0" fontId="8" fillId="0" borderId="32" xfId="0" applyFont="1" applyBorder="1" applyAlignment="1">
      <alignment horizontal="center" vertical="center"/>
    </xf>
    <xf numFmtId="43" fontId="8" fillId="0" borderId="16" xfId="0" applyNumberFormat="1" applyFont="1" applyBorder="1"/>
    <xf numFmtId="0" fontId="8" fillId="8" borderId="38" xfId="0" applyFont="1" applyFill="1" applyBorder="1" applyAlignment="1">
      <alignment horizontal="center"/>
    </xf>
    <xf numFmtId="0" fontId="8" fillId="8" borderId="22" xfId="0" applyFont="1" applyFill="1" applyBorder="1"/>
    <xf numFmtId="0" fontId="8" fillId="8" borderId="39" xfId="0" applyFont="1" applyFill="1" applyBorder="1"/>
    <xf numFmtId="43" fontId="8" fillId="9" borderId="38" xfId="1" applyFont="1" applyFill="1" applyBorder="1"/>
    <xf numFmtId="43" fontId="8" fillId="8" borderId="38" xfId="1" applyFont="1" applyFill="1" applyBorder="1"/>
    <xf numFmtId="43" fontId="8" fillId="8" borderId="38" xfId="1" applyFont="1" applyFill="1" applyBorder="1" applyAlignment="1">
      <alignment horizontal="center"/>
    </xf>
    <xf numFmtId="0" fontId="8" fillId="8" borderId="23" xfId="0" applyFont="1" applyFill="1" applyBorder="1"/>
    <xf numFmtId="0" fontId="8" fillId="8" borderId="28" xfId="0" applyFont="1" applyFill="1" applyBorder="1"/>
    <xf numFmtId="43" fontId="8" fillId="0" borderId="29" xfId="1" applyNumberFormat="1" applyFont="1" applyBorder="1"/>
    <xf numFmtId="43" fontId="8" fillId="0" borderId="32" xfId="1" applyNumberFormat="1" applyFont="1" applyBorder="1"/>
    <xf numFmtId="43" fontId="8" fillId="0" borderId="38" xfId="1" applyFont="1" applyFill="1" applyBorder="1"/>
    <xf numFmtId="43" fontId="8" fillId="6" borderId="29" xfId="1" applyFont="1" applyFill="1" applyBorder="1"/>
    <xf numFmtId="43" fontId="8" fillId="6" borderId="32" xfId="1" applyFont="1" applyFill="1" applyBorder="1"/>
    <xf numFmtId="0" fontId="8" fillId="8" borderId="0" xfId="0" applyFont="1" applyFill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0" xfId="0" applyFont="1" applyFill="1" applyAlignment="1">
      <alignment horizontal="left" vertical="center" wrapText="1"/>
    </xf>
    <xf numFmtId="43" fontId="50" fillId="8" borderId="8" xfId="1" applyFont="1" applyFill="1" applyBorder="1" applyAlignment="1">
      <alignment horizontal="center" vertical="center"/>
    </xf>
    <xf numFmtId="43" fontId="50" fillId="8" borderId="9" xfId="1" applyFont="1" applyFill="1" applyBorder="1" applyAlignment="1">
      <alignment horizontal="center" vertical="center"/>
    </xf>
    <xf numFmtId="43" fontId="50" fillId="8" borderId="10" xfId="1" applyFont="1" applyFill="1" applyBorder="1" applyAlignment="1">
      <alignment horizontal="center" vertical="center"/>
    </xf>
    <xf numFmtId="43" fontId="50" fillId="8" borderId="12" xfId="1" applyFont="1" applyFill="1" applyBorder="1" applyAlignment="1">
      <alignment horizontal="center" vertical="center"/>
    </xf>
    <xf numFmtId="178" fontId="50" fillId="8" borderId="17" xfId="0" applyNumberFormat="1" applyFont="1" applyFill="1" applyBorder="1" applyAlignment="1">
      <alignment horizontal="center" vertical="center"/>
    </xf>
    <xf numFmtId="178" fontId="50" fillId="8" borderId="14" xfId="0" applyNumberFormat="1" applyFont="1" applyFill="1" applyBorder="1" applyAlignment="1">
      <alignment horizontal="center" vertical="center"/>
    </xf>
    <xf numFmtId="178" fontId="50" fillId="8" borderId="18" xfId="0" applyNumberFormat="1" applyFont="1" applyFill="1" applyBorder="1" applyAlignment="1">
      <alignment horizontal="center" vertical="center"/>
    </xf>
    <xf numFmtId="4" fontId="50" fillId="8" borderId="0" xfId="0" applyNumberFormat="1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50" fillId="8" borderId="8" xfId="0" applyFont="1" applyFill="1" applyBorder="1" applyAlignment="1">
      <alignment horizontal="left" vertical="center" wrapText="1"/>
    </xf>
    <xf numFmtId="0" fontId="50" fillId="8" borderId="0" xfId="0" applyFont="1" applyFill="1" applyAlignment="1">
      <alignment horizontal="left" vertical="center" wrapText="1"/>
    </xf>
    <xf numFmtId="0" fontId="50" fillId="8" borderId="9" xfId="0" applyFont="1" applyFill="1" applyBorder="1" applyAlignment="1">
      <alignment horizontal="left" vertical="center" wrapText="1"/>
    </xf>
    <xf numFmtId="43" fontId="50" fillId="6" borderId="8" xfId="1" applyFont="1" applyFill="1" applyBorder="1" applyAlignment="1">
      <alignment horizontal="center" vertical="center"/>
    </xf>
    <xf numFmtId="43" fontId="50" fillId="6" borderId="9" xfId="1" applyFont="1" applyFill="1" applyBorder="1" applyAlignment="1">
      <alignment horizontal="center" vertical="center"/>
    </xf>
    <xf numFmtId="0" fontId="51" fillId="8" borderId="2" xfId="104" applyFont="1" applyFill="1" applyBorder="1" applyAlignment="1">
      <alignment horizontal="center" vertical="center"/>
    </xf>
    <xf numFmtId="0" fontId="51" fillId="8" borderId="4" xfId="104" applyFont="1" applyFill="1" applyBorder="1" applyAlignment="1">
      <alignment horizontal="center" vertical="center"/>
    </xf>
    <xf numFmtId="0" fontId="51" fillId="8" borderId="6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/>
    </xf>
    <xf numFmtId="3" fontId="51" fillId="8" borderId="2" xfId="104" applyNumberFormat="1" applyFont="1" applyFill="1" applyBorder="1" applyAlignment="1">
      <alignment horizontal="center" vertical="center"/>
    </xf>
    <xf numFmtId="3" fontId="51" fillId="8" borderId="4" xfId="104" applyNumberFormat="1" applyFont="1" applyFill="1" applyBorder="1" applyAlignment="1">
      <alignment horizontal="center" vertical="center"/>
    </xf>
    <xf numFmtId="4" fontId="51" fillId="8" borderId="5" xfId="104" applyNumberFormat="1" applyFont="1" applyFill="1" applyBorder="1" applyAlignment="1">
      <alignment horizontal="center" vertical="center"/>
    </xf>
    <xf numFmtId="4" fontId="51" fillId="8" borderId="7" xfId="104" applyNumberFormat="1" applyFont="1" applyFill="1" applyBorder="1" applyAlignment="1">
      <alignment horizontal="center" vertical="center"/>
    </xf>
    <xf numFmtId="4" fontId="51" fillId="8" borderId="10" xfId="104" applyNumberFormat="1" applyFont="1" applyFill="1" applyBorder="1" applyAlignment="1">
      <alignment horizontal="center" vertical="center"/>
    </xf>
    <xf numFmtId="4" fontId="51" fillId="8" borderId="12" xfId="104" applyNumberFormat="1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4" xfId="0" applyFont="1" applyFill="1" applyBorder="1" applyAlignment="1">
      <alignment horizontal="center" vertical="center"/>
    </xf>
    <xf numFmtId="4" fontId="50" fillId="8" borderId="17" xfId="0" applyNumberFormat="1" applyFont="1" applyFill="1" applyBorder="1" applyAlignment="1">
      <alignment horizontal="center" vertical="center"/>
    </xf>
    <xf numFmtId="4" fontId="50" fillId="8" borderId="14" xfId="0" applyNumberFormat="1" applyFont="1" applyFill="1" applyBorder="1" applyAlignment="1">
      <alignment horizontal="center" vertical="center"/>
    </xf>
    <xf numFmtId="4" fontId="50" fillId="8" borderId="18" xfId="0" applyNumberFormat="1" applyFont="1" applyFill="1" applyBorder="1" applyAlignment="1">
      <alignment horizontal="center" vertical="center"/>
    </xf>
    <xf numFmtId="4" fontId="8" fillId="10" borderId="19" xfId="90" applyNumberFormat="1" applyFont="1" applyFill="1" applyBorder="1" applyAlignment="1">
      <alignment horizontal="center"/>
    </xf>
    <xf numFmtId="2" fontId="8" fillId="10" borderId="19" xfId="90" applyNumberFormat="1" applyFont="1" applyFill="1" applyBorder="1" applyAlignment="1">
      <alignment horizontal="center"/>
    </xf>
    <xf numFmtId="0" fontId="8" fillId="8" borderId="0" xfId="90" applyFont="1" applyFill="1" applyAlignment="1">
      <alignment horizontal="center"/>
    </xf>
    <xf numFmtId="4" fontId="8" fillId="10" borderId="21" xfId="90" applyNumberFormat="1" applyFont="1" applyFill="1" applyBorder="1" applyAlignment="1">
      <alignment horizontal="center"/>
    </xf>
    <xf numFmtId="43" fontId="8" fillId="10" borderId="21" xfId="1" applyFont="1" applyFill="1" applyBorder="1" applyAlignment="1">
      <alignment horizontal="center"/>
    </xf>
    <xf numFmtId="43" fontId="8" fillId="11" borderId="19" xfId="1" applyFont="1" applyFill="1" applyBorder="1" applyAlignment="1">
      <alignment horizontal="center"/>
    </xf>
    <xf numFmtId="43" fontId="8" fillId="10" borderId="19" xfId="1" applyFont="1" applyFill="1" applyBorder="1" applyAlignment="1">
      <alignment horizontal="center"/>
    </xf>
    <xf numFmtId="43" fontId="8" fillId="8" borderId="19" xfId="1" applyFont="1" applyFill="1" applyBorder="1" applyAlignment="1">
      <alignment horizontal="center"/>
    </xf>
    <xf numFmtId="4" fontId="8" fillId="9" borderId="19" xfId="90" applyNumberFormat="1" applyFont="1" applyFill="1" applyBorder="1" applyAlignment="1">
      <alignment horizontal="center"/>
    </xf>
    <xf numFmtId="4" fontId="8" fillId="8" borderId="19" xfId="90" applyNumberFormat="1" applyFont="1" applyFill="1" applyBorder="1" applyAlignment="1">
      <alignment horizontal="center"/>
    </xf>
    <xf numFmtId="43" fontId="8" fillId="8" borderId="0" xfId="1" applyFont="1" applyFill="1" applyBorder="1" applyAlignment="1">
      <alignment horizontal="right"/>
    </xf>
    <xf numFmtId="43" fontId="8" fillId="8" borderId="19" xfId="1" applyFont="1" applyFill="1" applyBorder="1" applyAlignment="1" applyProtection="1">
      <alignment horizontal="center"/>
      <protection hidden="1"/>
    </xf>
    <xf numFmtId="2" fontId="8" fillId="9" borderId="19" xfId="1" applyNumberFormat="1" applyFont="1" applyFill="1" applyBorder="1" applyAlignment="1">
      <alignment horizontal="center"/>
    </xf>
    <xf numFmtId="43" fontId="8" fillId="8" borderId="0" xfId="1" applyFont="1" applyFill="1" applyBorder="1" applyAlignment="1">
      <alignment horizontal="center" vertical="center"/>
    </xf>
    <xf numFmtId="43" fontId="8" fillId="8" borderId="0" xfId="0" applyNumberFormat="1" applyFont="1" applyFill="1" applyAlignment="1">
      <alignment horizontal="center"/>
    </xf>
    <xf numFmtId="43" fontId="8" fillId="9" borderId="19" xfId="1" applyFont="1" applyFill="1" applyBorder="1" applyAlignment="1">
      <alignment horizontal="right"/>
    </xf>
    <xf numFmtId="43" fontId="8" fillId="0" borderId="19" xfId="1" applyFont="1" applyFill="1" applyBorder="1" applyAlignment="1">
      <alignment horizontal="right"/>
    </xf>
    <xf numFmtId="0" fontId="42" fillId="0" borderId="3" xfId="0" applyFont="1" applyBorder="1" applyAlignment="1">
      <alignment horizontal="center"/>
    </xf>
    <xf numFmtId="0" fontId="42" fillId="0" borderId="3" xfId="1" applyNumberFormat="1" applyFont="1" applyBorder="1" applyAlignment="1">
      <alignment horizontal="center"/>
    </xf>
    <xf numFmtId="179" fontId="42" fillId="0" borderId="3" xfId="0" applyNumberFormat="1" applyFont="1" applyBorder="1" applyAlignment="1">
      <alignment horizontal="center"/>
    </xf>
    <xf numFmtId="2" fontId="42" fillId="0" borderId="3" xfId="0" applyNumberFormat="1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4" xfId="1" applyNumberFormat="1" applyFont="1" applyBorder="1" applyAlignment="1">
      <alignment horizontal="center"/>
    </xf>
    <xf numFmtId="179" fontId="42" fillId="0" borderId="4" xfId="0" applyNumberFormat="1" applyFont="1" applyBorder="1" applyAlignment="1">
      <alignment horizontal="center"/>
    </xf>
    <xf numFmtId="2" fontId="42" fillId="0" borderId="4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6" borderId="11" xfId="1" applyNumberFormat="1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2" fontId="8" fillId="6" borderId="6" xfId="0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43" fontId="8" fillId="6" borderId="0" xfId="1" applyFont="1" applyFill="1" applyBorder="1" applyAlignment="1">
      <alignment horizontal="center"/>
    </xf>
    <xf numFmtId="183" fontId="8" fillId="6" borderId="19" xfId="0" applyNumberFormat="1" applyFont="1" applyFill="1" applyBorder="1" applyAlignment="1">
      <alignment horizontal="center"/>
    </xf>
    <xf numFmtId="183" fontId="8" fillId="6" borderId="21" xfId="0" applyNumberFormat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0" fontId="7" fillId="0" borderId="2" xfId="90" applyFont="1" applyBorder="1" applyAlignment="1">
      <alignment horizontal="center" vertical="center"/>
    </xf>
    <xf numFmtId="0" fontId="7" fillId="0" borderId="4" xfId="90" applyFont="1" applyBorder="1" applyAlignment="1">
      <alignment horizontal="center" vertical="center"/>
    </xf>
    <xf numFmtId="0" fontId="7" fillId="0" borderId="13" xfId="90" applyFont="1" applyBorder="1" applyAlignment="1">
      <alignment horizontal="center"/>
    </xf>
    <xf numFmtId="0" fontId="7" fillId="0" borderId="15" xfId="90" applyFont="1" applyBorder="1" applyAlignment="1">
      <alignment horizontal="center"/>
    </xf>
    <xf numFmtId="0" fontId="7" fillId="0" borderId="5" xfId="90" applyFont="1" applyBorder="1" applyAlignment="1">
      <alignment horizontal="center" vertical="center"/>
    </xf>
    <xf numFmtId="0" fontId="7" fillId="0" borderId="6" xfId="90" applyFont="1" applyBorder="1" applyAlignment="1">
      <alignment horizontal="center" vertical="center"/>
    </xf>
    <xf numFmtId="0" fontId="7" fillId="0" borderId="10" xfId="90" applyFont="1" applyBorder="1" applyAlignment="1">
      <alignment horizontal="center" vertical="center"/>
    </xf>
    <xf numFmtId="0" fontId="7" fillId="0" borderId="11" xfId="90" applyFont="1" applyBorder="1" applyAlignment="1">
      <alignment horizontal="center" vertical="center"/>
    </xf>
    <xf numFmtId="4" fontId="7" fillId="6" borderId="19" xfId="90" applyNumberFormat="1" applyFont="1" applyFill="1" applyBorder="1" applyAlignment="1">
      <alignment horizontal="center"/>
    </xf>
    <xf numFmtId="4" fontId="7" fillId="0" borderId="21" xfId="90" applyNumberFormat="1" applyFont="1" applyBorder="1" applyAlignment="1">
      <alignment horizontal="center"/>
    </xf>
    <xf numFmtId="4" fontId="7" fillId="0" borderId="19" xfId="90" applyNumberFormat="1" applyFont="1" applyBorder="1" applyAlignment="1">
      <alignment horizontal="center"/>
    </xf>
    <xf numFmtId="4" fontId="7" fillId="6" borderId="21" xfId="90" applyNumberFormat="1" applyFont="1" applyFill="1" applyBorder="1" applyAlignment="1">
      <alignment horizontal="center"/>
    </xf>
    <xf numFmtId="184" fontId="7" fillId="6" borderId="19" xfId="90" applyNumberFormat="1" applyFont="1" applyFill="1" applyBorder="1" applyAlignment="1">
      <alignment horizontal="center"/>
    </xf>
    <xf numFmtId="4" fontId="7" fillId="0" borderId="22" xfId="90" applyNumberFormat="1" applyFont="1" applyBorder="1" applyAlignment="1">
      <alignment horizontal="center"/>
    </xf>
    <xf numFmtId="184" fontId="7" fillId="6" borderId="21" xfId="9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178" fontId="8" fillId="0" borderId="17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4" fontId="43" fillId="0" borderId="10" xfId="104" applyNumberFormat="1" applyFont="1" applyBorder="1" applyAlignment="1">
      <alignment horizontal="center" vertical="center"/>
    </xf>
    <xf numFmtId="4" fontId="43" fillId="0" borderId="12" xfId="104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43" fontId="8" fillId="0" borderId="5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4" fontId="43" fillId="0" borderId="5" xfId="104" applyNumberFormat="1" applyFont="1" applyBorder="1" applyAlignment="1">
      <alignment horizontal="center" vertical="center"/>
    </xf>
    <xf numFmtId="4" fontId="43" fillId="0" borderId="7" xfId="104" applyNumberFormat="1" applyFont="1" applyBorder="1" applyAlignment="1">
      <alignment horizontal="center" vertical="center"/>
    </xf>
    <xf numFmtId="0" fontId="43" fillId="0" borderId="2" xfId="104" applyFont="1" applyBorder="1" applyAlignment="1">
      <alignment horizontal="center" vertical="center"/>
    </xf>
    <xf numFmtId="0" fontId="43" fillId="0" borderId="4" xfId="104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3" fontId="43" fillId="0" borderId="2" xfId="104" applyNumberFormat="1" applyFont="1" applyBorder="1" applyAlignment="1">
      <alignment horizontal="center" vertical="center"/>
    </xf>
    <xf numFmtId="3" fontId="43" fillId="0" borderId="4" xfId="104" applyNumberFormat="1" applyFont="1" applyBorder="1" applyAlignment="1">
      <alignment horizontal="center" vertical="center"/>
    </xf>
  </cellXfs>
  <cellStyles count="109">
    <cellStyle name=",;F'KOIT[[WAAHK" xfId="2" xr:uid="{00000000-0005-0000-0000-000000000000}"/>
    <cellStyle name="?? [0.00]_????" xfId="3" xr:uid="{00000000-0005-0000-0000-000001000000}"/>
    <cellStyle name="?? [0]_PERSONAL" xfId="4" xr:uid="{00000000-0005-0000-0000-000002000000}"/>
    <cellStyle name="???? [0.00]_????" xfId="5" xr:uid="{00000000-0005-0000-0000-000003000000}"/>
    <cellStyle name="??????[0]_PERSONAL" xfId="6" xr:uid="{00000000-0005-0000-0000-000004000000}"/>
    <cellStyle name="??????PERSONAL" xfId="7" xr:uid="{00000000-0005-0000-0000-000005000000}"/>
    <cellStyle name="?????[0]_PERSONAL" xfId="8" xr:uid="{00000000-0005-0000-0000-000006000000}"/>
    <cellStyle name="?????PERSONAL" xfId="9" xr:uid="{00000000-0005-0000-0000-000007000000}"/>
    <cellStyle name="?????PERSONAL 2" xfId="68" xr:uid="{00000000-0005-0000-0000-000008000000}"/>
    <cellStyle name="????_????" xfId="10" xr:uid="{00000000-0005-0000-0000-000009000000}"/>
    <cellStyle name="???[0]_PERSONAL" xfId="11" xr:uid="{00000000-0005-0000-0000-00000A000000}"/>
    <cellStyle name="???_PERSONAL" xfId="12" xr:uid="{00000000-0005-0000-0000-00000B000000}"/>
    <cellStyle name="??_??" xfId="13" xr:uid="{00000000-0005-0000-0000-00000C000000}"/>
    <cellStyle name="?@??laroux" xfId="14" xr:uid="{00000000-0005-0000-0000-00000D000000}"/>
    <cellStyle name="=C:\WINDOWS\SYSTEM32\COMMAND.COM" xfId="15" xr:uid="{00000000-0005-0000-0000-00000E000000}"/>
    <cellStyle name="abc" xfId="16" xr:uid="{00000000-0005-0000-0000-00000F000000}"/>
    <cellStyle name="Calc Currency (0)" xfId="17" xr:uid="{00000000-0005-0000-0000-000010000000}"/>
    <cellStyle name="Calc Currency (2)" xfId="18" xr:uid="{00000000-0005-0000-0000-000011000000}"/>
    <cellStyle name="Calc Percent (0)" xfId="19" xr:uid="{00000000-0005-0000-0000-000012000000}"/>
    <cellStyle name="Calc Percent (1)" xfId="20" xr:uid="{00000000-0005-0000-0000-000013000000}"/>
    <cellStyle name="Calc Percent (2)" xfId="21" xr:uid="{00000000-0005-0000-0000-000014000000}"/>
    <cellStyle name="Calc Units (0)" xfId="22" xr:uid="{00000000-0005-0000-0000-000015000000}"/>
    <cellStyle name="Calc Units (0) 2" xfId="69" xr:uid="{00000000-0005-0000-0000-000016000000}"/>
    <cellStyle name="Calc Units (1)" xfId="23" xr:uid="{00000000-0005-0000-0000-000017000000}"/>
    <cellStyle name="Calc Units (1) 2" xfId="70" xr:uid="{00000000-0005-0000-0000-000018000000}"/>
    <cellStyle name="Calc Units (2)" xfId="24" xr:uid="{00000000-0005-0000-0000-000019000000}"/>
    <cellStyle name="Comma [00]" xfId="25" xr:uid="{00000000-0005-0000-0000-00001A000000}"/>
    <cellStyle name="Comma [00] 2" xfId="71" xr:uid="{00000000-0005-0000-0000-00001B000000}"/>
    <cellStyle name="Comma 6" xfId="26" xr:uid="{00000000-0005-0000-0000-00001C000000}"/>
    <cellStyle name="company_title" xfId="27" xr:uid="{00000000-0005-0000-0000-00001D000000}"/>
    <cellStyle name="Currency [00]" xfId="28" xr:uid="{00000000-0005-0000-0000-00001E000000}"/>
    <cellStyle name="Date Short" xfId="29" xr:uid="{00000000-0005-0000-0000-00001F000000}"/>
    <cellStyle name="date_format" xfId="30" xr:uid="{00000000-0005-0000-0000-000020000000}"/>
    <cellStyle name="Enter Currency (0)" xfId="31" xr:uid="{00000000-0005-0000-0000-000021000000}"/>
    <cellStyle name="Enter Currency (0) 2" xfId="72" xr:uid="{00000000-0005-0000-0000-000022000000}"/>
    <cellStyle name="Enter Currency (2)" xfId="32" xr:uid="{00000000-0005-0000-0000-000023000000}"/>
    <cellStyle name="Enter Units (0)" xfId="33" xr:uid="{00000000-0005-0000-0000-000024000000}"/>
    <cellStyle name="Enter Units (0) 2" xfId="73" xr:uid="{00000000-0005-0000-0000-000025000000}"/>
    <cellStyle name="Enter Units (1)" xfId="34" xr:uid="{00000000-0005-0000-0000-000026000000}"/>
    <cellStyle name="Enter Units (1) 2" xfId="74" xr:uid="{00000000-0005-0000-0000-000027000000}"/>
    <cellStyle name="Enter Units (2)" xfId="35" xr:uid="{00000000-0005-0000-0000-000028000000}"/>
    <cellStyle name="Grey" xfId="36" xr:uid="{00000000-0005-0000-0000-000029000000}"/>
    <cellStyle name="Header1" xfId="37" xr:uid="{00000000-0005-0000-0000-00002A000000}"/>
    <cellStyle name="Header2" xfId="38" xr:uid="{00000000-0005-0000-0000-00002B000000}"/>
    <cellStyle name="Input [yellow]" xfId="39" xr:uid="{00000000-0005-0000-0000-00002C000000}"/>
    <cellStyle name="Link Currency (0)" xfId="40" xr:uid="{00000000-0005-0000-0000-00002D000000}"/>
    <cellStyle name="Link Currency (0) 2" xfId="75" xr:uid="{00000000-0005-0000-0000-00002E000000}"/>
    <cellStyle name="Link Currency (2)" xfId="41" xr:uid="{00000000-0005-0000-0000-00002F000000}"/>
    <cellStyle name="Link Units (0)" xfId="42" xr:uid="{00000000-0005-0000-0000-000030000000}"/>
    <cellStyle name="Link Units (0) 2" xfId="76" xr:uid="{00000000-0005-0000-0000-000031000000}"/>
    <cellStyle name="Link Units (1)" xfId="43" xr:uid="{00000000-0005-0000-0000-000032000000}"/>
    <cellStyle name="Link Units (1) 2" xfId="77" xr:uid="{00000000-0005-0000-0000-000033000000}"/>
    <cellStyle name="Link Units (2)" xfId="44" xr:uid="{00000000-0005-0000-0000-000034000000}"/>
    <cellStyle name="no dec" xfId="45" xr:uid="{00000000-0005-0000-0000-000035000000}"/>
    <cellStyle name="Normal - Style1" xfId="46" xr:uid="{00000000-0005-0000-0000-000036000000}"/>
    <cellStyle name="Normal - Style1 2" xfId="79" xr:uid="{00000000-0005-0000-0000-000037000000}"/>
    <cellStyle name="Normal 3" xfId="108" xr:uid="{38BFF9E7-06F9-426F-BB8E-0B705A029827}"/>
    <cellStyle name="Normal 4" xfId="47" xr:uid="{00000000-0005-0000-0000-000038000000}"/>
    <cellStyle name="Nor聭al_ภาคกลาง" xfId="48" xr:uid="{00000000-0005-0000-0000-000039000000}"/>
    <cellStyle name="ParaBirimi [0]_RESULTS" xfId="49" xr:uid="{00000000-0005-0000-0000-00003A000000}"/>
    <cellStyle name="ParaBirimi_RESULTS" xfId="50" xr:uid="{00000000-0005-0000-0000-00003B000000}"/>
    <cellStyle name="Percent [0]" xfId="51" xr:uid="{00000000-0005-0000-0000-00003C000000}"/>
    <cellStyle name="Percent [00]" xfId="52" xr:uid="{00000000-0005-0000-0000-00003D000000}"/>
    <cellStyle name="Percent [2]" xfId="53" xr:uid="{00000000-0005-0000-0000-00003E000000}"/>
    <cellStyle name="PrePop Currency (0)" xfId="54" xr:uid="{00000000-0005-0000-0000-00003F000000}"/>
    <cellStyle name="PrePop Currency (0) 2" xfId="82" xr:uid="{00000000-0005-0000-0000-000040000000}"/>
    <cellStyle name="PrePop Currency (2)" xfId="55" xr:uid="{00000000-0005-0000-0000-000041000000}"/>
    <cellStyle name="PrePop Units (0)" xfId="56" xr:uid="{00000000-0005-0000-0000-000042000000}"/>
    <cellStyle name="PrePop Units (0) 2" xfId="83" xr:uid="{00000000-0005-0000-0000-000043000000}"/>
    <cellStyle name="PrePop Units (1)" xfId="57" xr:uid="{00000000-0005-0000-0000-000044000000}"/>
    <cellStyle name="PrePop Units (1) 2" xfId="84" xr:uid="{00000000-0005-0000-0000-000045000000}"/>
    <cellStyle name="PrePop Units (2)" xfId="58" xr:uid="{00000000-0005-0000-0000-000046000000}"/>
    <cellStyle name="report_title" xfId="59" xr:uid="{00000000-0005-0000-0000-000047000000}"/>
    <cellStyle name="Text Indent A" xfId="60" xr:uid="{00000000-0005-0000-0000-000048000000}"/>
    <cellStyle name="Text Indent B" xfId="61" xr:uid="{00000000-0005-0000-0000-000049000000}"/>
    <cellStyle name="Text Indent C" xfId="62" xr:uid="{00000000-0005-0000-0000-00004A000000}"/>
    <cellStyle name="Virg? [0]_RESULTS" xfId="63" xr:uid="{00000000-0005-0000-0000-00004B000000}"/>
    <cellStyle name="Virg?_RESULTS" xfId="64" xr:uid="{00000000-0005-0000-0000-00004C000000}"/>
    <cellStyle name="เครื่องหมายจุลภาค 2" xfId="107" xr:uid="{1C526B4F-0DC9-41C7-9E72-2934BA79BB2A}"/>
    <cellStyle name="เครื่องหมายจุลภาค 2 2" xfId="85" xr:uid="{00000000-0005-0000-0000-00004E000000}"/>
    <cellStyle name="เครื่องหมายจุลภาค 3 2" xfId="86" xr:uid="{00000000-0005-0000-0000-00004F000000}"/>
    <cellStyle name="เครื่องหมายจุลภาค 4 2" xfId="87" xr:uid="{00000000-0005-0000-0000-000050000000}"/>
    <cellStyle name="เครื่องหมายจุลภาค 5 2" xfId="88" xr:uid="{00000000-0005-0000-0000-000051000000}"/>
    <cellStyle name="เครื่องหมายจุลภาค 6" xfId="65" xr:uid="{00000000-0005-0000-0000-000052000000}"/>
    <cellStyle name="เครื่องหมายจุลภาค 6 2" xfId="89" xr:uid="{00000000-0005-0000-0000-000053000000}"/>
    <cellStyle name="จุลภาค" xfId="1" builtinId="3"/>
    <cellStyle name="ปกติ" xfId="0" builtinId="0"/>
    <cellStyle name="ปกติ 2" xfId="106" xr:uid="{F843DA86-710E-4074-8479-6C671B7D3492}"/>
    <cellStyle name="ปกติ 2 10" xfId="103" xr:uid="{00000000-0005-0000-0000-000056000000}"/>
    <cellStyle name="ปกติ 2 2" xfId="66" xr:uid="{00000000-0005-0000-0000-000057000000}"/>
    <cellStyle name="ปกติ 2 2 2" xfId="91" xr:uid="{00000000-0005-0000-0000-000058000000}"/>
    <cellStyle name="ปกติ 2 3" xfId="78" xr:uid="{00000000-0005-0000-0000-000059000000}"/>
    <cellStyle name="ปกติ 2 4" xfId="81" xr:uid="{00000000-0005-0000-0000-00005A000000}"/>
    <cellStyle name="ปกติ 2 5" xfId="90" xr:uid="{00000000-0005-0000-0000-00005B000000}"/>
    <cellStyle name="ปกติ 2 6" xfId="97" xr:uid="{00000000-0005-0000-0000-00005C000000}"/>
    <cellStyle name="ปกติ 2 7" xfId="99" xr:uid="{00000000-0005-0000-0000-00005D000000}"/>
    <cellStyle name="ปกติ 2 8" xfId="101" xr:uid="{00000000-0005-0000-0000-00005E000000}"/>
    <cellStyle name="ปกติ 2 9" xfId="102" xr:uid="{00000000-0005-0000-0000-00005F000000}"/>
    <cellStyle name="ปกติ 3 2" xfId="92" xr:uid="{00000000-0005-0000-0000-000060000000}"/>
    <cellStyle name="ปกติ 4" xfId="80" xr:uid="{00000000-0005-0000-0000-000061000000}"/>
    <cellStyle name="ปกติ 4 2" xfId="93" xr:uid="{00000000-0005-0000-0000-000062000000}"/>
    <cellStyle name="ปกติ 5 2" xfId="94" xr:uid="{00000000-0005-0000-0000-000063000000}"/>
    <cellStyle name="ปกติ 6" xfId="67" xr:uid="{00000000-0005-0000-0000-000064000000}"/>
    <cellStyle name="ปกติ 6 2" xfId="95" xr:uid="{00000000-0005-0000-0000-000065000000}"/>
    <cellStyle name="ปกติ 8" xfId="98" xr:uid="{00000000-0005-0000-0000-000066000000}"/>
    <cellStyle name="ปกติ 9" xfId="100" xr:uid="{00000000-0005-0000-0000-000067000000}"/>
    <cellStyle name="ปกติ_BOQ-BANG-NGA 2" xfId="104" xr:uid="{00000000-0005-0000-0000-000068000000}"/>
    <cellStyle name="ปกติ_ค่า Fบางนา" xfId="105" xr:uid="{00000000-0005-0000-0000-000069000000}"/>
    <cellStyle name="เปอร์เซ็นต์ 2" xfId="96" xr:uid="{00000000-0005-0000-0000-000054000000}"/>
  </cellStyles>
  <dxfs count="0"/>
  <tableStyles count="0" defaultTableStyle="TableStyleMedium9" defaultPivotStyle="PivotStyleLight16"/>
  <colors>
    <mruColors>
      <color rgb="FF5BD4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13</xdr:row>
      <xdr:rowOff>19050</xdr:rowOff>
    </xdr:from>
    <xdr:to>
      <xdr:col>8</xdr:col>
      <xdr:colOff>304800</xdr:colOff>
      <xdr:row>13</xdr:row>
      <xdr:rowOff>228600</xdr:rowOff>
    </xdr:to>
    <xdr:sp macro="" textlink="">
      <xdr:nvSpPr>
        <xdr:cNvPr id="2" name="Text Box 23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143125" y="29718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800" b="0" i="0" strike="noStrike">
              <a:solidFill>
                <a:srgbClr val="000000"/>
              </a:solidFill>
              <a:latin typeface="Arial"/>
            </a:rPr>
            <a:t>(ค่าจากตาราง ;บาท/ตัน)</a:t>
          </a:r>
        </a:p>
      </xdr:txBody>
    </xdr:sp>
    <xdr:clientData/>
  </xdr:twoCellAnchor>
  <xdr:twoCellAnchor>
    <xdr:from>
      <xdr:col>5</xdr:col>
      <xdr:colOff>104775</xdr:colOff>
      <xdr:row>13</xdr:row>
      <xdr:rowOff>19050</xdr:rowOff>
    </xdr:from>
    <xdr:to>
      <xdr:col>8</xdr:col>
      <xdr:colOff>304800</xdr:colOff>
      <xdr:row>13</xdr:row>
      <xdr:rowOff>228600</xdr:rowOff>
    </xdr:to>
    <xdr:sp macro="" textlink="">
      <xdr:nvSpPr>
        <xdr:cNvPr id="4" name="Text Box 23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143125" y="29718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800" b="0" i="0" strike="noStrike">
              <a:solidFill>
                <a:srgbClr val="000000"/>
              </a:solidFill>
              <a:latin typeface="Arial"/>
            </a:rPr>
            <a:t>(ค่าจากตาราง ;บาท/ตัน)</a:t>
          </a:r>
        </a:p>
      </xdr:txBody>
    </xdr:sp>
    <xdr:clientData/>
  </xdr:twoCellAnchor>
  <xdr:twoCellAnchor>
    <xdr:from>
      <xdr:col>5</xdr:col>
      <xdr:colOff>104775</xdr:colOff>
      <xdr:row>13</xdr:row>
      <xdr:rowOff>19050</xdr:rowOff>
    </xdr:from>
    <xdr:to>
      <xdr:col>8</xdr:col>
      <xdr:colOff>304800</xdr:colOff>
      <xdr:row>13</xdr:row>
      <xdr:rowOff>228600</xdr:rowOff>
    </xdr:to>
    <xdr:sp macro="" textlink="">
      <xdr:nvSpPr>
        <xdr:cNvPr id="5" name="Text Box 23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143125" y="29718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800" b="0" i="0" strike="noStrike">
              <a:solidFill>
                <a:srgbClr val="000000"/>
              </a:solidFill>
              <a:latin typeface="Arial"/>
            </a:rPr>
            <a:t>(ค่าจากตาราง ;บาท/ตัน)</a:t>
          </a:r>
        </a:p>
      </xdr:txBody>
    </xdr:sp>
    <xdr:clientData/>
  </xdr:twoCellAnchor>
  <xdr:twoCellAnchor>
    <xdr:from>
      <xdr:col>7</xdr:col>
      <xdr:colOff>323850</xdr:colOff>
      <xdr:row>14</xdr:row>
      <xdr:rowOff>234315</xdr:rowOff>
    </xdr:from>
    <xdr:to>
      <xdr:col>10</xdr:col>
      <xdr:colOff>457200</xdr:colOff>
      <xdr:row>15</xdr:row>
      <xdr:rowOff>283845</xdr:rowOff>
    </xdr:to>
    <xdr:sp macro="" textlink="">
      <xdr:nvSpPr>
        <xdr:cNvPr id="6" name="Text Box 23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124450" y="4396740"/>
          <a:ext cx="219075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800" b="0" i="0" strike="noStrike">
              <a:solidFill>
                <a:srgbClr val="FF0000"/>
              </a:solidFill>
              <a:latin typeface="Arial"/>
            </a:rPr>
            <a:t>(ค่าจากตาราง ;จำนวนท่อต่อเที่ยว)</a:t>
          </a:r>
        </a:p>
      </xdr:txBody>
    </xdr:sp>
    <xdr:clientData/>
  </xdr:twoCellAnchor>
  <xdr:twoCellAnchor>
    <xdr:from>
      <xdr:col>5</xdr:col>
      <xdr:colOff>104775</xdr:colOff>
      <xdr:row>13</xdr:row>
      <xdr:rowOff>19050</xdr:rowOff>
    </xdr:from>
    <xdr:to>
      <xdr:col>8</xdr:col>
      <xdr:colOff>304800</xdr:colOff>
      <xdr:row>13</xdr:row>
      <xdr:rowOff>228600</xdr:rowOff>
    </xdr:to>
    <xdr:sp macro="" textlink="">
      <xdr:nvSpPr>
        <xdr:cNvPr id="7" name="Text Box 23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143125" y="2971800"/>
          <a:ext cx="12668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800" b="0" i="0" strike="noStrike">
              <a:solidFill>
                <a:srgbClr val="000000"/>
              </a:solidFill>
              <a:latin typeface="Arial"/>
            </a:rPr>
            <a:t>(ค่าจากตาราง ;บาท/ตัน)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285749</xdr:colOff>
      <xdr:row>0</xdr:row>
      <xdr:rowOff>0</xdr:rowOff>
    </xdr:from>
    <xdr:to>
      <xdr:col>21</xdr:col>
      <xdr:colOff>337704</xdr:colOff>
      <xdr:row>13</xdr:row>
      <xdr:rowOff>118681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502" t="11786" r="10612" b="19423"/>
        <a:stretch/>
      </xdr:blipFill>
      <xdr:spPr>
        <a:xfrm>
          <a:off x="8009658" y="0"/>
          <a:ext cx="2788228" cy="3608295"/>
        </a:xfrm>
        <a:prstGeom prst="rect">
          <a:avLst/>
        </a:prstGeom>
      </xdr:spPr>
    </xdr:pic>
    <xdr:clientData/>
  </xdr:twoCellAnchor>
  <xdr:twoCellAnchor editAs="oneCell">
    <xdr:from>
      <xdr:col>17</xdr:col>
      <xdr:colOff>329711</xdr:colOff>
      <xdr:row>14</xdr:row>
      <xdr:rowOff>65943</xdr:rowOff>
    </xdr:from>
    <xdr:to>
      <xdr:col>25</xdr:col>
      <xdr:colOff>314586</xdr:colOff>
      <xdr:row>21</xdr:row>
      <xdr:rowOff>19051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48" t="46422" r="23458" b="28803"/>
        <a:stretch/>
      </xdr:blipFill>
      <xdr:spPr>
        <a:xfrm>
          <a:off x="8044961" y="3773366"/>
          <a:ext cx="5494721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285749</xdr:colOff>
      <xdr:row>0</xdr:row>
      <xdr:rowOff>0</xdr:rowOff>
    </xdr:from>
    <xdr:to>
      <xdr:col>21</xdr:col>
      <xdr:colOff>337705</xdr:colOff>
      <xdr:row>13</xdr:row>
      <xdr:rowOff>118681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502" t="11786" r="10612" b="19423"/>
        <a:stretch/>
      </xdr:blipFill>
      <xdr:spPr>
        <a:xfrm>
          <a:off x="7981949" y="0"/>
          <a:ext cx="2795155" cy="3585781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14</xdr:row>
      <xdr:rowOff>0</xdr:rowOff>
    </xdr:from>
    <xdr:to>
      <xdr:col>24</xdr:col>
      <xdr:colOff>1905</xdr:colOff>
      <xdr:row>43</xdr:row>
      <xdr:rowOff>2199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947" t="9317" r="33036" b="6138"/>
        <a:stretch/>
      </xdr:blipFill>
      <xdr:spPr>
        <a:xfrm>
          <a:off x="8010525" y="3743325"/>
          <a:ext cx="4425461" cy="6183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242456</xdr:colOff>
      <xdr:row>8</xdr:row>
      <xdr:rowOff>34635</xdr:rowOff>
    </xdr:from>
    <xdr:to>
      <xdr:col>6</xdr:col>
      <xdr:colOff>852649</xdr:colOff>
      <xdr:row>27</xdr:row>
      <xdr:rowOff>15135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456" y="183572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0</xdr:rowOff>
    </xdr:from>
    <xdr:to>
      <xdr:col>6</xdr:col>
      <xdr:colOff>610194</xdr:colOff>
      <xdr:row>46</xdr:row>
      <xdr:rowOff>171000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516" t="1443" r="3516" b="-1443"/>
        <a:stretch/>
      </xdr:blipFill>
      <xdr:spPr>
        <a:xfrm>
          <a:off x="1" y="5611091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52"/>
  <sheetViews>
    <sheetView view="pageBreakPreview" zoomScale="110" zoomScaleSheetLayoutView="110" workbookViewId="0">
      <selection activeCell="O7" sqref="O7"/>
    </sheetView>
  </sheetViews>
  <sheetFormatPr defaultColWidth="9" defaultRowHeight="23.4"/>
  <cols>
    <col min="1" max="1" width="5.109375" style="116" customWidth="1"/>
    <col min="2" max="3" width="10.6640625" style="116" customWidth="1"/>
    <col min="4" max="4" width="16.6640625" style="116" customWidth="1"/>
    <col min="5" max="5" width="7.21875" style="116" customWidth="1"/>
    <col min="6" max="6" width="11.88671875" style="116" customWidth="1"/>
    <col min="7" max="7" width="8.21875" style="116" customWidth="1"/>
    <col min="8" max="8" width="9.21875" style="116" customWidth="1"/>
    <col min="9" max="9" width="8.44140625" style="116" customWidth="1"/>
    <col min="10" max="10" width="10.109375" style="116" customWidth="1"/>
    <col min="11" max="11" width="11.77734375" style="116" customWidth="1"/>
    <col min="12" max="12" width="14.44140625" style="116" customWidth="1"/>
    <col min="13" max="16384" width="9" style="116"/>
  </cols>
  <sheetData>
    <row r="1" spans="1:12">
      <c r="A1" s="336" t="s">
        <v>14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>
      <c r="A2" s="180" t="s">
        <v>311</v>
      </c>
      <c r="C2" s="180" t="s">
        <v>312</v>
      </c>
      <c r="D2" s="151"/>
      <c r="E2" s="151"/>
      <c r="F2" s="151"/>
      <c r="G2" s="151"/>
      <c r="H2" s="151"/>
      <c r="I2" s="151"/>
      <c r="J2" s="151"/>
      <c r="K2" s="151"/>
      <c r="L2" s="151"/>
    </row>
    <row r="3" spans="1:12">
      <c r="A3" s="116" t="s">
        <v>313</v>
      </c>
      <c r="C3" s="116" t="s">
        <v>391</v>
      </c>
    </row>
    <row r="4" spans="1:12">
      <c r="A4" s="116" t="s">
        <v>314</v>
      </c>
      <c r="C4" s="116" t="s">
        <v>411</v>
      </c>
    </row>
    <row r="5" spans="1:12" s="182" customFormat="1" ht="49.2" customHeight="1">
      <c r="A5" s="181" t="s">
        <v>315</v>
      </c>
      <c r="B5" s="183"/>
      <c r="C5" s="340" t="s">
        <v>392</v>
      </c>
      <c r="D5" s="340"/>
      <c r="E5" s="340"/>
      <c r="F5" s="340"/>
      <c r="G5" s="340"/>
      <c r="H5" s="340"/>
      <c r="I5" s="340"/>
      <c r="J5" s="340"/>
      <c r="K5" s="340"/>
      <c r="L5" s="340"/>
    </row>
    <row r="6" spans="1:12" ht="21" customHeight="1">
      <c r="A6" s="116" t="s">
        <v>316</v>
      </c>
      <c r="C6" s="116" t="s">
        <v>410</v>
      </c>
      <c r="J6" s="184"/>
    </row>
    <row r="7" spans="1:12">
      <c r="A7" s="116" t="s">
        <v>347</v>
      </c>
      <c r="F7" s="116" t="s">
        <v>339</v>
      </c>
      <c r="J7" s="116" t="s">
        <v>15</v>
      </c>
    </row>
    <row r="8" spans="1:12">
      <c r="A8" s="116" t="s">
        <v>65</v>
      </c>
      <c r="F8" s="116" t="s">
        <v>350</v>
      </c>
    </row>
    <row r="9" spans="1:12">
      <c r="A9" s="185" t="s">
        <v>21</v>
      </c>
      <c r="B9" s="337" t="s">
        <v>0</v>
      </c>
      <c r="C9" s="338"/>
      <c r="D9" s="339"/>
      <c r="E9" s="185" t="s">
        <v>1</v>
      </c>
      <c r="F9" s="185" t="s">
        <v>5</v>
      </c>
      <c r="G9" s="185" t="s">
        <v>3</v>
      </c>
      <c r="H9" s="185" t="s">
        <v>5</v>
      </c>
      <c r="I9" s="185" t="s">
        <v>9</v>
      </c>
      <c r="J9" s="185" t="s">
        <v>10</v>
      </c>
      <c r="K9" s="185" t="s">
        <v>12</v>
      </c>
      <c r="L9" s="185" t="s">
        <v>13</v>
      </c>
    </row>
    <row r="10" spans="1:12">
      <c r="A10" s="186" t="s">
        <v>64</v>
      </c>
      <c r="B10" s="187"/>
      <c r="C10" s="151"/>
      <c r="D10" s="188"/>
      <c r="E10" s="186"/>
      <c r="F10" s="186" t="s">
        <v>6</v>
      </c>
      <c r="G10" s="186" t="s">
        <v>4</v>
      </c>
      <c r="H10" s="186" t="s">
        <v>4</v>
      </c>
      <c r="I10" s="186" t="s">
        <v>8</v>
      </c>
      <c r="J10" s="186" t="s">
        <v>11</v>
      </c>
      <c r="K10" s="186"/>
      <c r="L10" s="186"/>
    </row>
    <row r="11" spans="1:12">
      <c r="A11" s="189"/>
      <c r="B11" s="190"/>
      <c r="C11" s="191"/>
      <c r="D11" s="192"/>
      <c r="E11" s="189"/>
      <c r="F11" s="189" t="s">
        <v>2</v>
      </c>
      <c r="G11" s="189" t="s">
        <v>7</v>
      </c>
      <c r="H11" s="189" t="s">
        <v>2</v>
      </c>
      <c r="I11" s="189" t="s">
        <v>2</v>
      </c>
      <c r="J11" s="189" t="s">
        <v>2</v>
      </c>
      <c r="K11" s="189" t="s">
        <v>2</v>
      </c>
      <c r="L11" s="189"/>
    </row>
    <row r="12" spans="1:12">
      <c r="A12" s="193">
        <v>1</v>
      </c>
      <c r="B12" s="194" t="s">
        <v>280</v>
      </c>
      <c r="C12" s="195"/>
      <c r="D12" s="196"/>
      <c r="E12" s="193" t="s">
        <v>18</v>
      </c>
      <c r="F12" s="197">
        <v>2140.19</v>
      </c>
      <c r="G12" s="198">
        <v>0</v>
      </c>
      <c r="H12" s="199">
        <v>0</v>
      </c>
      <c r="I12" s="200">
        <v>0</v>
      </c>
      <c r="J12" s="200">
        <v>0</v>
      </c>
      <c r="K12" s="201">
        <f>ROUND($F$12+$H$12+$I$12+$J$12,2)</f>
        <v>2140.19</v>
      </c>
      <c r="L12" s="193" t="s">
        <v>244</v>
      </c>
    </row>
    <row r="13" spans="1:12">
      <c r="A13" s="202">
        <v>2</v>
      </c>
      <c r="B13" s="203" t="s">
        <v>242</v>
      </c>
      <c r="C13" s="204"/>
      <c r="D13" s="205"/>
      <c r="E13" s="202" t="s">
        <v>310</v>
      </c>
      <c r="F13" s="206">
        <v>26493.61</v>
      </c>
      <c r="G13" s="206">
        <v>58</v>
      </c>
      <c r="H13" s="199">
        <v>93.8</v>
      </c>
      <c r="I13" s="207">
        <v>0</v>
      </c>
      <c r="J13" s="207">
        <v>4100</v>
      </c>
      <c r="K13" s="208">
        <f>ROUND($F$13+$H$13+$I$13+$J$13,2)</f>
        <v>30687.41</v>
      </c>
      <c r="L13" s="202" t="s">
        <v>244</v>
      </c>
    </row>
    <row r="14" spans="1:12">
      <c r="A14" s="202">
        <v>3</v>
      </c>
      <c r="B14" s="203" t="s">
        <v>282</v>
      </c>
      <c r="C14" s="204"/>
      <c r="D14" s="205"/>
      <c r="E14" s="202" t="s">
        <v>310</v>
      </c>
      <c r="F14" s="206">
        <v>25100.27</v>
      </c>
      <c r="G14" s="206">
        <v>58</v>
      </c>
      <c r="H14" s="199">
        <v>93.8</v>
      </c>
      <c r="I14" s="207">
        <v>0</v>
      </c>
      <c r="J14" s="207">
        <v>4100</v>
      </c>
      <c r="K14" s="208">
        <f>ROUND($F$14+$H$14+$I$14+$J$14,2)</f>
        <v>29294.07</v>
      </c>
      <c r="L14" s="202" t="s">
        <v>244</v>
      </c>
    </row>
    <row r="15" spans="1:12">
      <c r="A15" s="202">
        <v>4</v>
      </c>
      <c r="B15" s="203" t="s">
        <v>118</v>
      </c>
      <c r="C15" s="204"/>
      <c r="D15" s="205"/>
      <c r="E15" s="202" t="s">
        <v>310</v>
      </c>
      <c r="F15" s="206">
        <v>27696.73</v>
      </c>
      <c r="G15" s="206">
        <v>58</v>
      </c>
      <c r="H15" s="199">
        <v>93.8</v>
      </c>
      <c r="I15" s="207">
        <v>0</v>
      </c>
      <c r="J15" s="207">
        <v>3300</v>
      </c>
      <c r="K15" s="208">
        <f>ROUND($F$15+$H$15+$I$15+$J$15,2)</f>
        <v>31090.53</v>
      </c>
      <c r="L15" s="202" t="s">
        <v>244</v>
      </c>
    </row>
    <row r="16" spans="1:12">
      <c r="A16" s="202">
        <v>5</v>
      </c>
      <c r="B16" s="203" t="s">
        <v>241</v>
      </c>
      <c r="C16" s="204"/>
      <c r="D16" s="205"/>
      <c r="E16" s="202" t="s">
        <v>310</v>
      </c>
      <c r="F16" s="206">
        <v>0</v>
      </c>
      <c r="G16" s="206">
        <v>0</v>
      </c>
      <c r="H16" s="199">
        <v>0</v>
      </c>
      <c r="I16" s="207">
        <v>0</v>
      </c>
      <c r="J16" s="207">
        <v>0</v>
      </c>
      <c r="K16" s="208">
        <f>ROUND($F$16+$H$16+$I$16+$J$16,2)</f>
        <v>0</v>
      </c>
      <c r="L16" s="202" t="s">
        <v>16</v>
      </c>
    </row>
    <row r="17" spans="1:12">
      <c r="A17" s="202">
        <v>6</v>
      </c>
      <c r="B17" s="203" t="s">
        <v>274</v>
      </c>
      <c r="C17" s="204"/>
      <c r="D17" s="205"/>
      <c r="E17" s="202" t="s">
        <v>310</v>
      </c>
      <c r="F17" s="206">
        <v>23852.9</v>
      </c>
      <c r="G17" s="206">
        <v>58</v>
      </c>
      <c r="H17" s="199">
        <v>93.8</v>
      </c>
      <c r="I17" s="207">
        <v>0</v>
      </c>
      <c r="J17" s="207">
        <v>3300</v>
      </c>
      <c r="K17" s="208">
        <f>ROUND($F$17+$H$17+$I$17+$J$17,2)</f>
        <v>27246.7</v>
      </c>
      <c r="L17" s="202" t="s">
        <v>244</v>
      </c>
    </row>
    <row r="18" spans="1:12">
      <c r="A18" s="202">
        <v>7</v>
      </c>
      <c r="B18" s="203" t="s">
        <v>243</v>
      </c>
      <c r="C18" s="204"/>
      <c r="D18" s="205"/>
      <c r="E18" s="202" t="s">
        <v>105</v>
      </c>
      <c r="F18" s="206">
        <v>46.1</v>
      </c>
      <c r="G18" s="207">
        <v>0</v>
      </c>
      <c r="H18" s="207">
        <v>0</v>
      </c>
      <c r="I18" s="207">
        <v>0</v>
      </c>
      <c r="J18" s="207">
        <v>0</v>
      </c>
      <c r="K18" s="208">
        <f>ROUND($F$18+$H$18+$I$18+$J$18,2)</f>
        <v>46.1</v>
      </c>
      <c r="L18" s="202" t="s">
        <v>244</v>
      </c>
    </row>
    <row r="19" spans="1:12">
      <c r="A19" s="202">
        <v>8</v>
      </c>
      <c r="B19" s="204" t="s">
        <v>157</v>
      </c>
      <c r="C19" s="204"/>
      <c r="D19" s="205"/>
      <c r="E19" s="202" t="s">
        <v>310</v>
      </c>
      <c r="F19" s="206">
        <v>0</v>
      </c>
      <c r="G19" s="206">
        <v>0</v>
      </c>
      <c r="H19" s="199">
        <v>0</v>
      </c>
      <c r="I19" s="207">
        <v>0</v>
      </c>
      <c r="J19" s="207">
        <v>0</v>
      </c>
      <c r="K19" s="208">
        <f>ROUND($F$19+$H$19+$I$19+$J$19,2)</f>
        <v>0</v>
      </c>
      <c r="L19" s="202" t="s">
        <v>244</v>
      </c>
    </row>
    <row r="20" spans="1:12">
      <c r="A20" s="202">
        <v>9</v>
      </c>
      <c r="B20" s="204" t="s">
        <v>158</v>
      </c>
      <c r="C20" s="204"/>
      <c r="D20" s="205"/>
      <c r="E20" s="202" t="s">
        <v>18</v>
      </c>
      <c r="F20" s="206">
        <v>411.26</v>
      </c>
      <c r="G20" s="206">
        <v>58</v>
      </c>
      <c r="H20" s="199">
        <v>131.32</v>
      </c>
      <c r="I20" s="207">
        <v>0</v>
      </c>
      <c r="J20" s="207">
        <v>0</v>
      </c>
      <c r="K20" s="208">
        <f>ROUND($F$20+$H$20+$I$20+$J$20,2)</f>
        <v>542.58000000000004</v>
      </c>
      <c r="L20" s="202" t="s">
        <v>244</v>
      </c>
    </row>
    <row r="21" spans="1:12">
      <c r="A21" s="202">
        <v>10</v>
      </c>
      <c r="B21" s="204" t="s">
        <v>159</v>
      </c>
      <c r="C21" s="204"/>
      <c r="D21" s="205"/>
      <c r="E21" s="202" t="s">
        <v>18</v>
      </c>
      <c r="F21" s="206">
        <v>610</v>
      </c>
      <c r="G21" s="206">
        <v>58</v>
      </c>
      <c r="H21" s="199">
        <v>131.32</v>
      </c>
      <c r="I21" s="207">
        <v>0</v>
      </c>
      <c r="J21" s="207">
        <v>0</v>
      </c>
      <c r="K21" s="208">
        <f>ROUND($F$21+$H$21+$I$21+$J$21,2)</f>
        <v>741.32</v>
      </c>
      <c r="L21" s="202" t="s">
        <v>244</v>
      </c>
    </row>
    <row r="22" spans="1:12">
      <c r="A22" s="202">
        <v>11</v>
      </c>
      <c r="B22" s="204" t="s">
        <v>160</v>
      </c>
      <c r="C22" s="204"/>
      <c r="D22" s="205"/>
      <c r="E22" s="202" t="s">
        <v>18</v>
      </c>
      <c r="F22" s="206">
        <v>0</v>
      </c>
      <c r="G22" s="206">
        <v>0</v>
      </c>
      <c r="H22" s="199">
        <v>0</v>
      </c>
      <c r="I22" s="207">
        <v>0</v>
      </c>
      <c r="J22" s="207">
        <v>0</v>
      </c>
      <c r="K22" s="208">
        <f>ROUND($F$22+$H$22+$I$22+$J$22,2)</f>
        <v>0</v>
      </c>
      <c r="L22" s="202" t="s">
        <v>244</v>
      </c>
    </row>
    <row r="23" spans="1:12">
      <c r="A23" s="202">
        <v>12</v>
      </c>
      <c r="B23" s="209" t="s">
        <v>194</v>
      </c>
      <c r="C23" s="204"/>
      <c r="D23" s="205"/>
      <c r="E23" s="202" t="s">
        <v>18</v>
      </c>
      <c r="F23" s="210">
        <v>74</v>
      </c>
      <c r="G23" s="207">
        <v>0</v>
      </c>
      <c r="H23" s="207">
        <v>0</v>
      </c>
      <c r="I23" s="207">
        <v>0</v>
      </c>
      <c r="J23" s="207">
        <v>0</v>
      </c>
      <c r="K23" s="208">
        <f>ROUND($F$23+$H$23+$I$23+$J$23,2)</f>
        <v>74</v>
      </c>
      <c r="L23" s="202" t="s">
        <v>162</v>
      </c>
    </row>
    <row r="24" spans="1:12">
      <c r="A24" s="202">
        <v>13</v>
      </c>
      <c r="B24" s="211" t="s">
        <v>342</v>
      </c>
      <c r="C24" s="204"/>
      <c r="D24" s="205"/>
      <c r="E24" s="202" t="s">
        <v>161</v>
      </c>
      <c r="F24" s="206">
        <v>0</v>
      </c>
      <c r="G24" s="207">
        <v>0</v>
      </c>
      <c r="H24" s="207">
        <v>0</v>
      </c>
      <c r="I24" s="207">
        <v>0</v>
      </c>
      <c r="J24" s="207">
        <v>0</v>
      </c>
      <c r="K24" s="208">
        <f>ROUND($F$24+$H$24+$I$24+$J$24,2)</f>
        <v>0</v>
      </c>
      <c r="L24" s="202" t="s">
        <v>244</v>
      </c>
    </row>
    <row r="25" spans="1:12">
      <c r="A25" s="202">
        <v>14</v>
      </c>
      <c r="B25" s="211" t="s">
        <v>323</v>
      </c>
      <c r="C25" s="204"/>
      <c r="D25" s="205"/>
      <c r="E25" s="202" t="s">
        <v>161</v>
      </c>
      <c r="F25" s="206">
        <v>0</v>
      </c>
      <c r="G25" s="207">
        <v>0</v>
      </c>
      <c r="H25" s="207">
        <v>0</v>
      </c>
      <c r="I25" s="207">
        <v>0</v>
      </c>
      <c r="J25" s="207">
        <v>0</v>
      </c>
      <c r="K25" s="208">
        <f>ROUND($F$25+$H$25+$I$25+$J$25,2)</f>
        <v>0</v>
      </c>
      <c r="L25" s="202" t="s">
        <v>244</v>
      </c>
    </row>
    <row r="26" spans="1:12">
      <c r="A26" s="202">
        <v>15</v>
      </c>
      <c r="B26" s="204" t="s">
        <v>163</v>
      </c>
      <c r="C26" s="204"/>
      <c r="D26" s="205"/>
      <c r="E26" s="202" t="s">
        <v>164</v>
      </c>
      <c r="F26" s="206">
        <v>1121.5</v>
      </c>
      <c r="G26" s="206">
        <v>58</v>
      </c>
      <c r="H26" s="305">
        <v>3.72</v>
      </c>
      <c r="I26" s="207">
        <v>0</v>
      </c>
      <c r="J26" s="207">
        <v>0</v>
      </c>
      <c r="K26" s="208">
        <f>ROUND($F$26+$H$26+$I$26+$J$26,2)</f>
        <v>1125.22</v>
      </c>
      <c r="L26" s="202" t="s">
        <v>244</v>
      </c>
    </row>
    <row r="27" spans="1:12">
      <c r="A27" s="202">
        <v>16</v>
      </c>
      <c r="B27" s="204" t="s">
        <v>165</v>
      </c>
      <c r="C27" s="204"/>
      <c r="D27" s="205"/>
      <c r="E27" s="202" t="s">
        <v>164</v>
      </c>
      <c r="F27" s="206">
        <v>794.39</v>
      </c>
      <c r="G27" s="206">
        <v>58</v>
      </c>
      <c r="H27" s="305">
        <v>3.72</v>
      </c>
      <c r="I27" s="207">
        <v>0</v>
      </c>
      <c r="J27" s="207">
        <v>0</v>
      </c>
      <c r="K27" s="208">
        <f>ROUND($F$27+$H$27+$I$27+$J$27,2)</f>
        <v>798.11</v>
      </c>
      <c r="L27" s="202" t="s">
        <v>244</v>
      </c>
    </row>
    <row r="28" spans="1:12" ht="25.2">
      <c r="A28" s="202">
        <v>17</v>
      </c>
      <c r="B28" s="204" t="s">
        <v>336</v>
      </c>
      <c r="C28" s="204"/>
      <c r="D28" s="205"/>
      <c r="E28" s="202" t="s">
        <v>161</v>
      </c>
      <c r="F28" s="206">
        <v>0</v>
      </c>
      <c r="G28" s="207">
        <v>0</v>
      </c>
      <c r="H28" s="207">
        <v>0</v>
      </c>
      <c r="I28" s="207">
        <v>0</v>
      </c>
      <c r="J28" s="207">
        <v>0</v>
      </c>
      <c r="K28" s="208">
        <f>ROUND($F$28+$H$28+$I$28+$J$28,2)</f>
        <v>0</v>
      </c>
      <c r="L28" s="202"/>
    </row>
    <row r="29" spans="1:12">
      <c r="A29" s="202">
        <v>18</v>
      </c>
      <c r="B29" s="212" t="s">
        <v>166</v>
      </c>
      <c r="C29" s="204"/>
      <c r="D29" s="205"/>
      <c r="E29" s="202" t="s">
        <v>105</v>
      </c>
      <c r="F29" s="206">
        <v>0</v>
      </c>
      <c r="G29" s="207">
        <v>0</v>
      </c>
      <c r="H29" s="207">
        <v>0</v>
      </c>
      <c r="I29" s="207">
        <v>0</v>
      </c>
      <c r="J29" s="207">
        <v>0</v>
      </c>
      <c r="K29" s="208">
        <f>ROUND($F$29+$H$29+$I$29+$J$29,2)</f>
        <v>0</v>
      </c>
      <c r="L29" s="202"/>
    </row>
    <row r="30" spans="1:12">
      <c r="A30" s="202">
        <v>19</v>
      </c>
      <c r="B30" s="212" t="s">
        <v>288</v>
      </c>
      <c r="C30" s="204"/>
      <c r="D30" s="205"/>
      <c r="E30" s="202" t="s">
        <v>161</v>
      </c>
      <c r="F30" s="206">
        <v>0</v>
      </c>
      <c r="G30" s="207">
        <v>0</v>
      </c>
      <c r="H30" s="207">
        <v>0</v>
      </c>
      <c r="I30" s="207">
        <v>0</v>
      </c>
      <c r="J30" s="207">
        <v>0</v>
      </c>
      <c r="K30" s="208">
        <f>ROUND($F$30+$H$30+$I$30+$J$30,2)</f>
        <v>0</v>
      </c>
      <c r="L30" s="202"/>
    </row>
    <row r="31" spans="1:12">
      <c r="A31" s="202">
        <v>20</v>
      </c>
      <c r="B31" s="212" t="s">
        <v>298</v>
      </c>
      <c r="C31" s="204"/>
      <c r="D31" s="205"/>
      <c r="E31" s="202" t="s">
        <v>161</v>
      </c>
      <c r="F31" s="206">
        <v>0</v>
      </c>
      <c r="G31" s="207">
        <v>0</v>
      </c>
      <c r="H31" s="207">
        <v>0</v>
      </c>
      <c r="I31" s="207">
        <v>0</v>
      </c>
      <c r="J31" s="207">
        <v>0</v>
      </c>
      <c r="K31" s="208">
        <f>ROUND($F$31+$H$31+$I$31+$J$31,2)</f>
        <v>0</v>
      </c>
      <c r="L31" s="202"/>
    </row>
    <row r="32" spans="1:12">
      <c r="A32" s="202">
        <v>21</v>
      </c>
      <c r="B32" s="212" t="s">
        <v>308</v>
      </c>
      <c r="C32" s="204"/>
      <c r="D32" s="205"/>
      <c r="E32" s="202" t="s">
        <v>161</v>
      </c>
      <c r="F32" s="206">
        <v>0</v>
      </c>
      <c r="G32" s="207">
        <v>0</v>
      </c>
      <c r="H32" s="207">
        <v>0</v>
      </c>
      <c r="I32" s="207">
        <v>0</v>
      </c>
      <c r="J32" s="207">
        <v>0</v>
      </c>
      <c r="K32" s="208">
        <f>ROUND($F$32+$H$32+$I$32+$J$32,2)</f>
        <v>0</v>
      </c>
      <c r="L32" s="202"/>
    </row>
    <row r="33" spans="1:12">
      <c r="A33" s="202">
        <v>22</v>
      </c>
      <c r="B33" s="213" t="s">
        <v>394</v>
      </c>
      <c r="C33" s="204"/>
      <c r="D33" s="205"/>
      <c r="E33" s="202" t="s">
        <v>161</v>
      </c>
      <c r="F33" s="206">
        <v>696.26</v>
      </c>
      <c r="G33" s="207">
        <v>0</v>
      </c>
      <c r="H33" s="207">
        <v>0</v>
      </c>
      <c r="I33" s="207">
        <v>0</v>
      </c>
      <c r="J33" s="207">
        <v>0</v>
      </c>
      <c r="K33" s="208">
        <f>ROUND($F$33+$H$33+$I$33+$J$33,2)</f>
        <v>696.26</v>
      </c>
      <c r="L33" s="202" t="s">
        <v>244</v>
      </c>
    </row>
    <row r="34" spans="1:12">
      <c r="A34" s="202">
        <v>23</v>
      </c>
      <c r="B34" s="213" t="s">
        <v>409</v>
      </c>
      <c r="C34" s="204"/>
      <c r="D34" s="205"/>
      <c r="E34" s="202" t="s">
        <v>408</v>
      </c>
      <c r="F34" s="206">
        <v>112.15</v>
      </c>
      <c r="G34" s="207">
        <v>0</v>
      </c>
      <c r="H34" s="207">
        <v>0</v>
      </c>
      <c r="I34" s="207">
        <v>0</v>
      </c>
      <c r="J34" s="207">
        <v>0</v>
      </c>
      <c r="K34" s="208">
        <f>ROUND($F$34+$H$34+$I$34+$J$34,2)</f>
        <v>112.15</v>
      </c>
      <c r="L34" s="202" t="s">
        <v>244</v>
      </c>
    </row>
    <row r="35" spans="1:12">
      <c r="A35" s="202">
        <v>24</v>
      </c>
      <c r="B35" s="204" t="s">
        <v>116</v>
      </c>
      <c r="C35" s="204"/>
      <c r="D35" s="205"/>
      <c r="E35" s="202" t="s">
        <v>161</v>
      </c>
      <c r="F35" s="206">
        <v>3</v>
      </c>
      <c r="G35" s="207">
        <v>0</v>
      </c>
      <c r="H35" s="207">
        <v>0</v>
      </c>
      <c r="I35" s="207">
        <v>0</v>
      </c>
      <c r="J35" s="207">
        <v>0</v>
      </c>
      <c r="K35" s="208">
        <f>ROUND($F$35+$H$35+$I$35+$J$35,2)</f>
        <v>3</v>
      </c>
      <c r="L35" s="202" t="s">
        <v>162</v>
      </c>
    </row>
    <row r="36" spans="1:12">
      <c r="A36" s="202">
        <v>25</v>
      </c>
      <c r="B36" s="204" t="s">
        <v>249</v>
      </c>
      <c r="C36" s="204"/>
      <c r="D36" s="205"/>
      <c r="E36" s="202" t="s">
        <v>20</v>
      </c>
      <c r="F36" s="206">
        <v>30</v>
      </c>
      <c r="G36" s="207">
        <v>0</v>
      </c>
      <c r="H36" s="207">
        <v>0</v>
      </c>
      <c r="I36" s="207">
        <v>0</v>
      </c>
      <c r="J36" s="207">
        <v>0</v>
      </c>
      <c r="K36" s="208">
        <f>ROUND($F$36+$H$36+$I$36+$J$36,2)</f>
        <v>30</v>
      </c>
      <c r="L36" s="202" t="s">
        <v>162</v>
      </c>
    </row>
    <row r="37" spans="1:12">
      <c r="A37" s="202">
        <v>26</v>
      </c>
      <c r="B37" s="204" t="s">
        <v>109</v>
      </c>
      <c r="C37" s="204"/>
      <c r="D37" s="205"/>
      <c r="E37" s="202" t="s">
        <v>110</v>
      </c>
      <c r="F37" s="206">
        <v>25</v>
      </c>
      <c r="G37" s="207">
        <v>0</v>
      </c>
      <c r="H37" s="207">
        <v>0</v>
      </c>
      <c r="I37" s="207">
        <v>0</v>
      </c>
      <c r="J37" s="207">
        <v>0</v>
      </c>
      <c r="K37" s="208">
        <f>ROUND($F$37+$H$37+$I$37+$J$37,2)</f>
        <v>25</v>
      </c>
      <c r="L37" s="202" t="s">
        <v>162</v>
      </c>
    </row>
    <row r="38" spans="1:12">
      <c r="A38" s="202">
        <v>27</v>
      </c>
      <c r="B38" s="204" t="s">
        <v>113</v>
      </c>
      <c r="C38" s="204"/>
      <c r="D38" s="205"/>
      <c r="E38" s="202" t="s">
        <v>31</v>
      </c>
      <c r="F38" s="206">
        <v>10.5</v>
      </c>
      <c r="G38" s="207">
        <v>0</v>
      </c>
      <c r="H38" s="207">
        <v>0</v>
      </c>
      <c r="I38" s="207">
        <v>0</v>
      </c>
      <c r="J38" s="207">
        <v>0</v>
      </c>
      <c r="K38" s="208">
        <f>ROUND($F$38+$H$38+$I$38+$J$38,2)</f>
        <v>10.5</v>
      </c>
      <c r="L38" s="202" t="s">
        <v>162</v>
      </c>
    </row>
    <row r="39" spans="1:12">
      <c r="A39" s="202">
        <v>28</v>
      </c>
      <c r="B39" s="324" t="s">
        <v>324</v>
      </c>
      <c r="C39" s="324"/>
      <c r="D39" s="325"/>
      <c r="E39" s="323" t="s">
        <v>108</v>
      </c>
      <c r="F39" s="326">
        <v>6.37</v>
      </c>
      <c r="G39" s="327">
        <v>0</v>
      </c>
      <c r="H39" s="327">
        <v>0</v>
      </c>
      <c r="I39" s="327">
        <v>0</v>
      </c>
      <c r="J39" s="327">
        <v>0</v>
      </c>
      <c r="K39" s="328">
        <f>ROUND($F$39+$H$39+$I$39+$J$39,2)</f>
        <v>6.37</v>
      </c>
      <c r="L39" s="323" t="s">
        <v>162</v>
      </c>
    </row>
    <row r="40" spans="1:12">
      <c r="A40" s="202">
        <v>29</v>
      </c>
      <c r="B40" s="317" t="s">
        <v>381</v>
      </c>
      <c r="C40" s="329"/>
      <c r="D40" s="330"/>
      <c r="E40" s="193" t="s">
        <v>370</v>
      </c>
      <c r="F40" s="198">
        <v>713.08</v>
      </c>
      <c r="G40" s="200">
        <v>0</v>
      </c>
      <c r="H40" s="200">
        <v>0</v>
      </c>
      <c r="I40" s="200">
        <v>0</v>
      </c>
      <c r="J40" s="200">
        <v>0</v>
      </c>
      <c r="K40" s="201">
        <f>ROUND($F$40+$H$40+$I$40+$J$40,2)</f>
        <v>713.08</v>
      </c>
      <c r="L40" s="193" t="s">
        <v>162</v>
      </c>
    </row>
    <row r="41" spans="1:12">
      <c r="A41" s="202">
        <v>30</v>
      </c>
      <c r="B41" s="313" t="s">
        <v>382</v>
      </c>
      <c r="C41" s="324"/>
      <c r="D41" s="325"/>
      <c r="E41" s="323" t="s">
        <v>161</v>
      </c>
      <c r="F41" s="326">
        <v>526.16999999999996</v>
      </c>
      <c r="G41" s="207">
        <v>0</v>
      </c>
      <c r="H41" s="207">
        <v>0</v>
      </c>
      <c r="I41" s="207">
        <v>0</v>
      </c>
      <c r="J41" s="207">
        <v>0</v>
      </c>
      <c r="K41" s="208">
        <f>ROUND($F$41+$H$41+$I$41+$J$41,2)</f>
        <v>526.16999999999996</v>
      </c>
      <c r="L41" s="202" t="s">
        <v>162</v>
      </c>
    </row>
    <row r="42" spans="1:12">
      <c r="A42" s="202">
        <v>31</v>
      </c>
      <c r="B42" s="313" t="s">
        <v>385</v>
      </c>
      <c r="C42" s="324"/>
      <c r="D42" s="325"/>
      <c r="E42" s="323" t="s">
        <v>161</v>
      </c>
      <c r="F42" s="326">
        <v>116.82</v>
      </c>
      <c r="G42" s="207">
        <v>0</v>
      </c>
      <c r="H42" s="207">
        <v>0</v>
      </c>
      <c r="I42" s="207">
        <v>0</v>
      </c>
      <c r="J42" s="207">
        <v>0</v>
      </c>
      <c r="K42" s="208">
        <f>ROUND($F$42+$H$42+$I$42+$J$42,2)</f>
        <v>116.82</v>
      </c>
      <c r="L42" s="202" t="s">
        <v>162</v>
      </c>
    </row>
    <row r="43" spans="1:12">
      <c r="A43" s="202">
        <v>32</v>
      </c>
      <c r="B43" s="313" t="s">
        <v>383</v>
      </c>
      <c r="C43" s="324"/>
      <c r="D43" s="325"/>
      <c r="E43" s="323" t="s">
        <v>374</v>
      </c>
      <c r="F43" s="326">
        <v>8.69</v>
      </c>
      <c r="G43" s="207">
        <v>0</v>
      </c>
      <c r="H43" s="207">
        <v>0</v>
      </c>
      <c r="I43" s="207">
        <v>0</v>
      </c>
      <c r="J43" s="207">
        <v>0</v>
      </c>
      <c r="K43" s="208">
        <f>ROUND($F$43+$H$43+$I$43+$J$43,2)</f>
        <v>8.69</v>
      </c>
      <c r="L43" s="202" t="s">
        <v>162</v>
      </c>
    </row>
    <row r="44" spans="1:12">
      <c r="A44" s="323"/>
      <c r="B44" s="324"/>
      <c r="C44" s="324"/>
      <c r="D44" s="325"/>
      <c r="E44" s="323"/>
      <c r="F44" s="333"/>
      <c r="G44" s="327"/>
      <c r="H44" s="327"/>
      <c r="I44" s="327"/>
      <c r="J44" s="327"/>
      <c r="K44" s="328"/>
      <c r="L44" s="323"/>
    </row>
    <row r="45" spans="1:12">
      <c r="A45" s="323"/>
      <c r="B45" s="324"/>
      <c r="C45" s="324"/>
      <c r="D45" s="325"/>
      <c r="E45" s="323"/>
      <c r="F45" s="333"/>
      <c r="G45" s="327"/>
      <c r="H45" s="327"/>
      <c r="I45" s="327"/>
      <c r="J45" s="327"/>
      <c r="K45" s="328"/>
      <c r="L45" s="323"/>
    </row>
    <row r="46" spans="1:12">
      <c r="A46" s="323"/>
      <c r="B46" s="324"/>
      <c r="C46" s="324"/>
      <c r="D46" s="325"/>
      <c r="E46" s="323"/>
      <c r="F46" s="333"/>
      <c r="G46" s="327"/>
      <c r="H46" s="327"/>
      <c r="I46" s="327"/>
      <c r="J46" s="327"/>
      <c r="K46" s="328"/>
      <c r="L46" s="323"/>
    </row>
    <row r="47" spans="1:12">
      <c r="A47" s="323"/>
      <c r="B47" s="324"/>
      <c r="C47" s="324"/>
      <c r="D47" s="325"/>
      <c r="E47" s="323"/>
      <c r="F47" s="333"/>
      <c r="G47" s="327"/>
      <c r="H47" s="327"/>
      <c r="I47" s="327"/>
      <c r="J47" s="327"/>
      <c r="K47" s="328"/>
      <c r="L47" s="323"/>
    </row>
    <row r="48" spans="1:12">
      <c r="A48" s="323"/>
      <c r="B48" s="324"/>
      <c r="C48" s="324"/>
      <c r="D48" s="325"/>
      <c r="E48" s="323"/>
      <c r="F48" s="333"/>
      <c r="G48" s="327"/>
      <c r="H48" s="327"/>
      <c r="I48" s="327"/>
      <c r="J48" s="327"/>
      <c r="K48" s="328"/>
      <c r="L48" s="323"/>
    </row>
    <row r="49" spans="1:12">
      <c r="A49" s="323"/>
      <c r="B49" s="324"/>
      <c r="C49" s="324"/>
      <c r="D49" s="325"/>
      <c r="E49" s="323"/>
      <c r="F49" s="333"/>
      <c r="G49" s="327"/>
      <c r="H49" s="327"/>
      <c r="I49" s="327"/>
      <c r="J49" s="327"/>
      <c r="K49" s="328"/>
      <c r="L49" s="323"/>
    </row>
    <row r="50" spans="1:12">
      <c r="A50" s="323"/>
      <c r="B50" s="324"/>
      <c r="C50" s="324"/>
      <c r="D50" s="325"/>
      <c r="E50" s="323"/>
      <c r="F50" s="333"/>
      <c r="G50" s="327"/>
      <c r="H50" s="327"/>
      <c r="I50" s="327"/>
      <c r="J50" s="327"/>
      <c r="K50" s="328"/>
      <c r="L50" s="323"/>
    </row>
    <row r="51" spans="1:12">
      <c r="A51" s="214"/>
      <c r="B51" s="215"/>
      <c r="C51" s="216"/>
      <c r="D51" s="217"/>
      <c r="E51" s="218"/>
      <c r="F51" s="219"/>
      <c r="G51" s="218"/>
      <c r="H51" s="218"/>
      <c r="I51" s="218"/>
      <c r="J51" s="218"/>
      <c r="K51" s="218"/>
      <c r="L51" s="218"/>
    </row>
    <row r="52" spans="1:12">
      <c r="A52" s="151"/>
    </row>
  </sheetData>
  <mergeCells count="3">
    <mergeCell ref="A1:L1"/>
    <mergeCell ref="B9:D9"/>
    <mergeCell ref="C5:L5"/>
  </mergeCells>
  <printOptions horizontalCentered="1"/>
  <pageMargins left="0.19685039370078741" right="0" top="0.59055118110236227" bottom="0.19685039370078741" header="0.31496062992125984" footer="0.31496062992125984"/>
  <pageSetup paperSize="9" scale="80" orientation="portrait" r:id="rId1"/>
  <rowBreaks count="1" manualBreakCount="1">
    <brk id="39" max="1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view="pageBreakPreview" zoomScale="110" zoomScaleNormal="120" zoomScaleSheetLayoutView="110" workbookViewId="0">
      <selection activeCell="H10" sqref="H10:I10"/>
    </sheetView>
  </sheetViews>
  <sheetFormatPr defaultRowHeight="16.2"/>
  <cols>
    <col min="1" max="1" width="4.88671875" style="9" customWidth="1"/>
    <col min="2" max="2" width="36.88671875" style="9" customWidth="1"/>
    <col min="3" max="3" width="7" style="9" customWidth="1"/>
    <col min="4" max="4" width="9" style="9"/>
    <col min="5" max="5" width="8.77734375" style="9" customWidth="1"/>
    <col min="6" max="6" width="9.33203125" style="9" customWidth="1"/>
    <col min="7" max="7" width="11.77734375" style="9" customWidth="1"/>
    <col min="8" max="257" width="9" style="9"/>
    <col min="258" max="258" width="21.77734375" style="9" customWidth="1"/>
    <col min="259" max="261" width="9" style="9"/>
    <col min="262" max="262" width="9.33203125" style="9" customWidth="1"/>
    <col min="263" max="513" width="9" style="9"/>
    <col min="514" max="514" width="21.77734375" style="9" customWidth="1"/>
    <col min="515" max="517" width="9" style="9"/>
    <col min="518" max="518" width="9.33203125" style="9" customWidth="1"/>
    <col min="519" max="769" width="9" style="9"/>
    <col min="770" max="770" width="21.77734375" style="9" customWidth="1"/>
    <col min="771" max="773" width="9" style="9"/>
    <col min="774" max="774" width="9.33203125" style="9" customWidth="1"/>
    <col min="775" max="1025" width="9" style="9"/>
    <col min="1026" max="1026" width="21.77734375" style="9" customWidth="1"/>
    <col min="1027" max="1029" width="9" style="9"/>
    <col min="1030" max="1030" width="9.33203125" style="9" customWidth="1"/>
    <col min="1031" max="1281" width="9" style="9"/>
    <col min="1282" max="1282" width="21.77734375" style="9" customWidth="1"/>
    <col min="1283" max="1285" width="9" style="9"/>
    <col min="1286" max="1286" width="9.33203125" style="9" customWidth="1"/>
    <col min="1287" max="1537" width="9" style="9"/>
    <col min="1538" max="1538" width="21.77734375" style="9" customWidth="1"/>
    <col min="1539" max="1541" width="9" style="9"/>
    <col min="1542" max="1542" width="9.33203125" style="9" customWidth="1"/>
    <col min="1543" max="1793" width="9" style="9"/>
    <col min="1794" max="1794" width="21.77734375" style="9" customWidth="1"/>
    <col min="1795" max="1797" width="9" style="9"/>
    <col min="1798" max="1798" width="9.33203125" style="9" customWidth="1"/>
    <col min="1799" max="2049" width="9" style="9"/>
    <col min="2050" max="2050" width="21.77734375" style="9" customWidth="1"/>
    <col min="2051" max="2053" width="9" style="9"/>
    <col min="2054" max="2054" width="9.33203125" style="9" customWidth="1"/>
    <col min="2055" max="2305" width="9" style="9"/>
    <col min="2306" max="2306" width="21.77734375" style="9" customWidth="1"/>
    <col min="2307" max="2309" width="9" style="9"/>
    <col min="2310" max="2310" width="9.33203125" style="9" customWidth="1"/>
    <col min="2311" max="2561" width="9" style="9"/>
    <col min="2562" max="2562" width="21.77734375" style="9" customWidth="1"/>
    <col min="2563" max="2565" width="9" style="9"/>
    <col min="2566" max="2566" width="9.33203125" style="9" customWidth="1"/>
    <col min="2567" max="2817" width="9" style="9"/>
    <col min="2818" max="2818" width="21.77734375" style="9" customWidth="1"/>
    <col min="2819" max="2821" width="9" style="9"/>
    <col min="2822" max="2822" width="9.33203125" style="9" customWidth="1"/>
    <col min="2823" max="3073" width="9" style="9"/>
    <col min="3074" max="3074" width="21.77734375" style="9" customWidth="1"/>
    <col min="3075" max="3077" width="9" style="9"/>
    <col min="3078" max="3078" width="9.33203125" style="9" customWidth="1"/>
    <col min="3079" max="3329" width="9" style="9"/>
    <col min="3330" max="3330" width="21.77734375" style="9" customWidth="1"/>
    <col min="3331" max="3333" width="9" style="9"/>
    <col min="3334" max="3334" width="9.33203125" style="9" customWidth="1"/>
    <col min="3335" max="3585" width="9" style="9"/>
    <col min="3586" max="3586" width="21.77734375" style="9" customWidth="1"/>
    <col min="3587" max="3589" width="9" style="9"/>
    <col min="3590" max="3590" width="9.33203125" style="9" customWidth="1"/>
    <col min="3591" max="3841" width="9" style="9"/>
    <col min="3842" max="3842" width="21.77734375" style="9" customWidth="1"/>
    <col min="3843" max="3845" width="9" style="9"/>
    <col min="3846" max="3846" width="9.33203125" style="9" customWidth="1"/>
    <col min="3847" max="4097" width="9" style="9"/>
    <col min="4098" max="4098" width="21.77734375" style="9" customWidth="1"/>
    <col min="4099" max="4101" width="9" style="9"/>
    <col min="4102" max="4102" width="9.33203125" style="9" customWidth="1"/>
    <col min="4103" max="4353" width="9" style="9"/>
    <col min="4354" max="4354" width="21.77734375" style="9" customWidth="1"/>
    <col min="4355" max="4357" width="9" style="9"/>
    <col min="4358" max="4358" width="9.33203125" style="9" customWidth="1"/>
    <col min="4359" max="4609" width="9" style="9"/>
    <col min="4610" max="4610" width="21.77734375" style="9" customWidth="1"/>
    <col min="4611" max="4613" width="9" style="9"/>
    <col min="4614" max="4614" width="9.33203125" style="9" customWidth="1"/>
    <col min="4615" max="4865" width="9" style="9"/>
    <col min="4866" max="4866" width="21.77734375" style="9" customWidth="1"/>
    <col min="4867" max="4869" width="9" style="9"/>
    <col min="4870" max="4870" width="9.33203125" style="9" customWidth="1"/>
    <col min="4871" max="5121" width="9" style="9"/>
    <col min="5122" max="5122" width="21.77734375" style="9" customWidth="1"/>
    <col min="5123" max="5125" width="9" style="9"/>
    <col min="5126" max="5126" width="9.33203125" style="9" customWidth="1"/>
    <col min="5127" max="5377" width="9" style="9"/>
    <col min="5378" max="5378" width="21.77734375" style="9" customWidth="1"/>
    <col min="5379" max="5381" width="9" style="9"/>
    <col min="5382" max="5382" width="9.33203125" style="9" customWidth="1"/>
    <col min="5383" max="5633" width="9" style="9"/>
    <col min="5634" max="5634" width="21.77734375" style="9" customWidth="1"/>
    <col min="5635" max="5637" width="9" style="9"/>
    <col min="5638" max="5638" width="9.33203125" style="9" customWidth="1"/>
    <col min="5639" max="5889" width="9" style="9"/>
    <col min="5890" max="5890" width="21.77734375" style="9" customWidth="1"/>
    <col min="5891" max="5893" width="9" style="9"/>
    <col min="5894" max="5894" width="9.33203125" style="9" customWidth="1"/>
    <col min="5895" max="6145" width="9" style="9"/>
    <col min="6146" max="6146" width="21.77734375" style="9" customWidth="1"/>
    <col min="6147" max="6149" width="9" style="9"/>
    <col min="6150" max="6150" width="9.33203125" style="9" customWidth="1"/>
    <col min="6151" max="6401" width="9" style="9"/>
    <col min="6402" max="6402" width="21.77734375" style="9" customWidth="1"/>
    <col min="6403" max="6405" width="9" style="9"/>
    <col min="6406" max="6406" width="9.33203125" style="9" customWidth="1"/>
    <col min="6407" max="6657" width="9" style="9"/>
    <col min="6658" max="6658" width="21.77734375" style="9" customWidth="1"/>
    <col min="6659" max="6661" width="9" style="9"/>
    <col min="6662" max="6662" width="9.33203125" style="9" customWidth="1"/>
    <col min="6663" max="6913" width="9" style="9"/>
    <col min="6914" max="6914" width="21.77734375" style="9" customWidth="1"/>
    <col min="6915" max="6917" width="9" style="9"/>
    <col min="6918" max="6918" width="9.33203125" style="9" customWidth="1"/>
    <col min="6919" max="7169" width="9" style="9"/>
    <col min="7170" max="7170" width="21.77734375" style="9" customWidth="1"/>
    <col min="7171" max="7173" width="9" style="9"/>
    <col min="7174" max="7174" width="9.33203125" style="9" customWidth="1"/>
    <col min="7175" max="7425" width="9" style="9"/>
    <col min="7426" max="7426" width="21.77734375" style="9" customWidth="1"/>
    <col min="7427" max="7429" width="9" style="9"/>
    <col min="7430" max="7430" width="9.33203125" style="9" customWidth="1"/>
    <col min="7431" max="7681" width="9" style="9"/>
    <col min="7682" max="7682" width="21.77734375" style="9" customWidth="1"/>
    <col min="7683" max="7685" width="9" style="9"/>
    <col min="7686" max="7686" width="9.33203125" style="9" customWidth="1"/>
    <col min="7687" max="7937" width="9" style="9"/>
    <col min="7938" max="7938" width="21.77734375" style="9" customWidth="1"/>
    <col min="7939" max="7941" width="9" style="9"/>
    <col min="7942" max="7942" width="9.33203125" style="9" customWidth="1"/>
    <col min="7943" max="8193" width="9" style="9"/>
    <col min="8194" max="8194" width="21.77734375" style="9" customWidth="1"/>
    <col min="8195" max="8197" width="9" style="9"/>
    <col min="8198" max="8198" width="9.33203125" style="9" customWidth="1"/>
    <col min="8199" max="8449" width="9" style="9"/>
    <col min="8450" max="8450" width="21.77734375" style="9" customWidth="1"/>
    <col min="8451" max="8453" width="9" style="9"/>
    <col min="8454" max="8454" width="9.33203125" style="9" customWidth="1"/>
    <col min="8455" max="8705" width="9" style="9"/>
    <col min="8706" max="8706" width="21.77734375" style="9" customWidth="1"/>
    <col min="8707" max="8709" width="9" style="9"/>
    <col min="8710" max="8710" width="9.33203125" style="9" customWidth="1"/>
    <col min="8711" max="8961" width="9" style="9"/>
    <col min="8962" max="8962" width="21.77734375" style="9" customWidth="1"/>
    <col min="8963" max="8965" width="9" style="9"/>
    <col min="8966" max="8966" width="9.33203125" style="9" customWidth="1"/>
    <col min="8967" max="9217" width="9" style="9"/>
    <col min="9218" max="9218" width="21.77734375" style="9" customWidth="1"/>
    <col min="9219" max="9221" width="9" style="9"/>
    <col min="9222" max="9222" width="9.33203125" style="9" customWidth="1"/>
    <col min="9223" max="9473" width="9" style="9"/>
    <col min="9474" max="9474" width="21.77734375" style="9" customWidth="1"/>
    <col min="9475" max="9477" width="9" style="9"/>
    <col min="9478" max="9478" width="9.33203125" style="9" customWidth="1"/>
    <col min="9479" max="9729" width="9" style="9"/>
    <col min="9730" max="9730" width="21.77734375" style="9" customWidth="1"/>
    <col min="9731" max="9733" width="9" style="9"/>
    <col min="9734" max="9734" width="9.33203125" style="9" customWidth="1"/>
    <col min="9735" max="9985" width="9" style="9"/>
    <col min="9986" max="9986" width="21.77734375" style="9" customWidth="1"/>
    <col min="9987" max="9989" width="9" style="9"/>
    <col min="9990" max="9990" width="9.33203125" style="9" customWidth="1"/>
    <col min="9991" max="10241" width="9" style="9"/>
    <col min="10242" max="10242" width="21.77734375" style="9" customWidth="1"/>
    <col min="10243" max="10245" width="9" style="9"/>
    <col min="10246" max="10246" width="9.33203125" style="9" customWidth="1"/>
    <col min="10247" max="10497" width="9" style="9"/>
    <col min="10498" max="10498" width="21.77734375" style="9" customWidth="1"/>
    <col min="10499" max="10501" width="9" style="9"/>
    <col min="10502" max="10502" width="9.33203125" style="9" customWidth="1"/>
    <col min="10503" max="10753" width="9" style="9"/>
    <col min="10754" max="10754" width="21.77734375" style="9" customWidth="1"/>
    <col min="10755" max="10757" width="9" style="9"/>
    <col min="10758" max="10758" width="9.33203125" style="9" customWidth="1"/>
    <col min="10759" max="11009" width="9" style="9"/>
    <col min="11010" max="11010" width="21.77734375" style="9" customWidth="1"/>
    <col min="11011" max="11013" width="9" style="9"/>
    <col min="11014" max="11014" width="9.33203125" style="9" customWidth="1"/>
    <col min="11015" max="11265" width="9" style="9"/>
    <col min="11266" max="11266" width="21.77734375" style="9" customWidth="1"/>
    <col min="11267" max="11269" width="9" style="9"/>
    <col min="11270" max="11270" width="9.33203125" style="9" customWidth="1"/>
    <col min="11271" max="11521" width="9" style="9"/>
    <col min="11522" max="11522" width="21.77734375" style="9" customWidth="1"/>
    <col min="11523" max="11525" width="9" style="9"/>
    <col min="11526" max="11526" width="9.33203125" style="9" customWidth="1"/>
    <col min="11527" max="11777" width="9" style="9"/>
    <col min="11778" max="11778" width="21.77734375" style="9" customWidth="1"/>
    <col min="11779" max="11781" width="9" style="9"/>
    <col min="11782" max="11782" width="9.33203125" style="9" customWidth="1"/>
    <col min="11783" max="12033" width="9" style="9"/>
    <col min="12034" max="12034" width="21.77734375" style="9" customWidth="1"/>
    <col min="12035" max="12037" width="9" style="9"/>
    <col min="12038" max="12038" width="9.33203125" style="9" customWidth="1"/>
    <col min="12039" max="12289" width="9" style="9"/>
    <col min="12290" max="12290" width="21.77734375" style="9" customWidth="1"/>
    <col min="12291" max="12293" width="9" style="9"/>
    <col min="12294" max="12294" width="9.33203125" style="9" customWidth="1"/>
    <col min="12295" max="12545" width="9" style="9"/>
    <col min="12546" max="12546" width="21.77734375" style="9" customWidth="1"/>
    <col min="12547" max="12549" width="9" style="9"/>
    <col min="12550" max="12550" width="9.33203125" style="9" customWidth="1"/>
    <col min="12551" max="12801" width="9" style="9"/>
    <col min="12802" max="12802" width="21.77734375" style="9" customWidth="1"/>
    <col min="12803" max="12805" width="9" style="9"/>
    <col min="12806" max="12806" width="9.33203125" style="9" customWidth="1"/>
    <col min="12807" max="13057" width="9" style="9"/>
    <col min="13058" max="13058" width="21.77734375" style="9" customWidth="1"/>
    <col min="13059" max="13061" width="9" style="9"/>
    <col min="13062" max="13062" width="9.33203125" style="9" customWidth="1"/>
    <col min="13063" max="13313" width="9" style="9"/>
    <col min="13314" max="13314" width="21.77734375" style="9" customWidth="1"/>
    <col min="13315" max="13317" width="9" style="9"/>
    <col min="13318" max="13318" width="9.33203125" style="9" customWidth="1"/>
    <col min="13319" max="13569" width="9" style="9"/>
    <col min="13570" max="13570" width="21.77734375" style="9" customWidth="1"/>
    <col min="13571" max="13573" width="9" style="9"/>
    <col min="13574" max="13574" width="9.33203125" style="9" customWidth="1"/>
    <col min="13575" max="13825" width="9" style="9"/>
    <col min="13826" max="13826" width="21.77734375" style="9" customWidth="1"/>
    <col min="13827" max="13829" width="9" style="9"/>
    <col min="13830" max="13830" width="9.33203125" style="9" customWidth="1"/>
    <col min="13831" max="14081" width="9" style="9"/>
    <col min="14082" max="14082" width="21.77734375" style="9" customWidth="1"/>
    <col min="14083" max="14085" width="9" style="9"/>
    <col min="14086" max="14086" width="9.33203125" style="9" customWidth="1"/>
    <col min="14087" max="14337" width="9" style="9"/>
    <col min="14338" max="14338" width="21.77734375" style="9" customWidth="1"/>
    <col min="14339" max="14341" width="9" style="9"/>
    <col min="14342" max="14342" width="9.33203125" style="9" customWidth="1"/>
    <col min="14343" max="14593" width="9" style="9"/>
    <col min="14594" max="14594" width="21.77734375" style="9" customWidth="1"/>
    <col min="14595" max="14597" width="9" style="9"/>
    <col min="14598" max="14598" width="9.33203125" style="9" customWidth="1"/>
    <col min="14599" max="14849" width="9" style="9"/>
    <col min="14850" max="14850" width="21.77734375" style="9" customWidth="1"/>
    <col min="14851" max="14853" width="9" style="9"/>
    <col min="14854" max="14854" width="9.33203125" style="9" customWidth="1"/>
    <col min="14855" max="15105" width="9" style="9"/>
    <col min="15106" max="15106" width="21.77734375" style="9" customWidth="1"/>
    <col min="15107" max="15109" width="9" style="9"/>
    <col min="15110" max="15110" width="9.33203125" style="9" customWidth="1"/>
    <col min="15111" max="15361" width="9" style="9"/>
    <col min="15362" max="15362" width="21.77734375" style="9" customWidth="1"/>
    <col min="15363" max="15365" width="9" style="9"/>
    <col min="15366" max="15366" width="9.33203125" style="9" customWidth="1"/>
    <col min="15367" max="15617" width="9" style="9"/>
    <col min="15618" max="15618" width="21.77734375" style="9" customWidth="1"/>
    <col min="15619" max="15621" width="9" style="9"/>
    <col min="15622" max="15622" width="9.33203125" style="9" customWidth="1"/>
    <col min="15623" max="15873" width="9" style="9"/>
    <col min="15874" max="15874" width="21.77734375" style="9" customWidth="1"/>
    <col min="15875" max="15877" width="9" style="9"/>
    <col min="15878" max="15878" width="9.33203125" style="9" customWidth="1"/>
    <col min="15879" max="16129" width="9" style="9"/>
    <col min="16130" max="16130" width="21.77734375" style="9" customWidth="1"/>
    <col min="16131" max="16133" width="9" style="9"/>
    <col min="16134" max="16134" width="9.33203125" style="9" customWidth="1"/>
    <col min="16135" max="16384" width="9" style="9"/>
  </cols>
  <sheetData>
    <row r="1" spans="1:7" ht="24">
      <c r="A1" s="40" t="s">
        <v>21</v>
      </c>
      <c r="B1" s="55"/>
      <c r="C1" s="40" t="s">
        <v>22</v>
      </c>
      <c r="D1" s="40" t="s">
        <v>1</v>
      </c>
      <c r="E1" s="41" t="s">
        <v>61</v>
      </c>
      <c r="F1" s="40" t="s">
        <v>195</v>
      </c>
      <c r="G1" s="40" t="s">
        <v>13</v>
      </c>
    </row>
    <row r="2" spans="1:7" ht="24">
      <c r="A2" s="43">
        <v>1</v>
      </c>
      <c r="B2" s="44" t="s">
        <v>294</v>
      </c>
      <c r="C2" s="45" t="s">
        <v>273</v>
      </c>
      <c r="D2" s="46" t="s">
        <v>273</v>
      </c>
      <c r="E2" s="47" t="s">
        <v>273</v>
      </c>
      <c r="F2" s="48" t="s">
        <v>273</v>
      </c>
      <c r="G2" s="46" t="s">
        <v>273</v>
      </c>
    </row>
    <row r="3" spans="1:7" ht="24">
      <c r="A3" s="49"/>
      <c r="B3" s="50" t="s">
        <v>292</v>
      </c>
      <c r="C3" s="54">
        <v>0.115</v>
      </c>
      <c r="D3" s="46" t="s">
        <v>291</v>
      </c>
      <c r="E3" s="47">
        <v>296</v>
      </c>
      <c r="F3" s="48">
        <f>E3*C3</f>
        <v>34.04</v>
      </c>
      <c r="G3" s="49"/>
    </row>
    <row r="4" spans="1:7" ht="24">
      <c r="A4" s="49"/>
      <c r="B4" s="50" t="s">
        <v>293</v>
      </c>
      <c r="C4" s="54">
        <v>2.3E-2</v>
      </c>
      <c r="D4" s="46" t="s">
        <v>291</v>
      </c>
      <c r="E4" s="51">
        <v>138</v>
      </c>
      <c r="F4" s="48">
        <f>E4*C4</f>
        <v>3.1739999999999999</v>
      </c>
      <c r="G4" s="49"/>
    </row>
    <row r="5" spans="1:7" ht="24">
      <c r="A5" s="49"/>
      <c r="B5" s="50" t="s">
        <v>295</v>
      </c>
      <c r="C5" s="56">
        <v>1</v>
      </c>
      <c r="D5" s="46" t="s">
        <v>20</v>
      </c>
      <c r="E5" s="52" t="s">
        <v>128</v>
      </c>
      <c r="F5" s="57">
        <f>ROUND(SUM(F3:F4),0)</f>
        <v>37</v>
      </c>
      <c r="G5" s="53"/>
    </row>
    <row r="6" spans="1:7" ht="24">
      <c r="A6" s="49"/>
      <c r="B6" s="50" t="s">
        <v>297</v>
      </c>
      <c r="C6" s="56">
        <v>1</v>
      </c>
      <c r="D6" s="46" t="s">
        <v>20</v>
      </c>
      <c r="E6" s="52" t="s">
        <v>128</v>
      </c>
      <c r="F6" s="57">
        <v>35</v>
      </c>
      <c r="G6" s="53"/>
    </row>
    <row r="7" spans="1:7" ht="24">
      <c r="A7" s="423" t="s">
        <v>79</v>
      </c>
      <c r="B7" s="423"/>
      <c r="C7" s="423"/>
      <c r="D7" s="423"/>
      <c r="E7" s="423"/>
      <c r="F7" s="42">
        <f>ROUND(SUM(F5:F6),0)</f>
        <v>72</v>
      </c>
      <c r="G7" s="53" t="s">
        <v>201</v>
      </c>
    </row>
  </sheetData>
  <mergeCells count="1">
    <mergeCell ref="A7:E7"/>
  </mergeCells>
  <printOptions horizontalCentered="1"/>
  <pageMargins left="0.59055118110236227" right="0.19685039370078741" top="0.59055118110236227" bottom="0.19685039370078741" header="0.31496062992125984" footer="0.31496062992125984"/>
  <pageSetup orientation="portrait" r:id="rId1"/>
  <rowBreaks count="1" manualBreakCount="1">
    <brk id="7" max="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EB47-F1FF-4291-96CE-F17419B2FC0D}">
  <sheetPr>
    <tabColor rgb="FFFF0000"/>
  </sheetPr>
  <dimension ref="A1:J17"/>
  <sheetViews>
    <sheetView view="pageBreakPreview" zoomScale="90" zoomScaleNormal="80" zoomScaleSheetLayoutView="90" workbookViewId="0">
      <selection activeCell="M14" sqref="M14"/>
    </sheetView>
  </sheetViews>
  <sheetFormatPr defaultRowHeight="23.4"/>
  <cols>
    <col min="1" max="1" width="8.88671875" style="63"/>
    <col min="2" max="2" width="41.5546875" style="63" customWidth="1"/>
    <col min="3" max="3" width="11" style="63" bestFit="1" customWidth="1"/>
    <col min="4" max="4" width="8.88671875" style="63"/>
    <col min="5" max="5" width="15.44140625" style="63" customWidth="1"/>
    <col min="6" max="6" width="12.88671875" style="63" bestFit="1" customWidth="1"/>
    <col min="7" max="7" width="16.109375" style="63" customWidth="1"/>
    <col min="8" max="8" width="12.88671875" style="63" bestFit="1" customWidth="1"/>
    <col min="9" max="9" width="19.21875" style="63" customWidth="1"/>
    <col min="10" max="10" width="13.21875" style="63" customWidth="1"/>
    <col min="11" max="257" width="8.88671875" style="63"/>
    <col min="258" max="258" width="61" style="63" customWidth="1"/>
    <col min="259" max="259" width="11" style="63" bestFit="1" customWidth="1"/>
    <col min="260" max="260" width="8.88671875" style="63"/>
    <col min="261" max="261" width="15.44140625" style="63" customWidth="1"/>
    <col min="262" max="262" width="12.88671875" style="63" bestFit="1" customWidth="1"/>
    <col min="263" max="263" width="16.109375" style="63" customWidth="1"/>
    <col min="264" max="264" width="12.88671875" style="63" bestFit="1" customWidth="1"/>
    <col min="265" max="265" width="19.21875" style="63" customWidth="1"/>
    <col min="266" max="266" width="13.21875" style="63" customWidth="1"/>
    <col min="267" max="513" width="8.88671875" style="63"/>
    <col min="514" max="514" width="61" style="63" customWidth="1"/>
    <col min="515" max="515" width="11" style="63" bestFit="1" customWidth="1"/>
    <col min="516" max="516" width="8.88671875" style="63"/>
    <col min="517" max="517" width="15.44140625" style="63" customWidth="1"/>
    <col min="518" max="518" width="12.88671875" style="63" bestFit="1" customWidth="1"/>
    <col min="519" max="519" width="16.109375" style="63" customWidth="1"/>
    <col min="520" max="520" width="12.88671875" style="63" bestFit="1" customWidth="1"/>
    <col min="521" max="521" width="19.21875" style="63" customWidth="1"/>
    <col min="522" max="522" width="13.21875" style="63" customWidth="1"/>
    <col min="523" max="769" width="8.88671875" style="63"/>
    <col min="770" max="770" width="61" style="63" customWidth="1"/>
    <col min="771" max="771" width="11" style="63" bestFit="1" customWidth="1"/>
    <col min="772" max="772" width="8.88671875" style="63"/>
    <col min="773" max="773" width="15.44140625" style="63" customWidth="1"/>
    <col min="774" max="774" width="12.88671875" style="63" bestFit="1" customWidth="1"/>
    <col min="775" max="775" width="16.109375" style="63" customWidth="1"/>
    <col min="776" max="776" width="12.88671875" style="63" bestFit="1" customWidth="1"/>
    <col min="777" max="777" width="19.21875" style="63" customWidth="1"/>
    <col min="778" max="778" width="13.21875" style="63" customWidth="1"/>
    <col min="779" max="1025" width="8.88671875" style="63"/>
    <col min="1026" max="1026" width="61" style="63" customWidth="1"/>
    <col min="1027" max="1027" width="11" style="63" bestFit="1" customWidth="1"/>
    <col min="1028" max="1028" width="8.88671875" style="63"/>
    <col min="1029" max="1029" width="15.44140625" style="63" customWidth="1"/>
    <col min="1030" max="1030" width="12.88671875" style="63" bestFit="1" customWidth="1"/>
    <col min="1031" max="1031" width="16.109375" style="63" customWidth="1"/>
    <col min="1032" max="1032" width="12.88671875" style="63" bestFit="1" customWidth="1"/>
    <col min="1033" max="1033" width="19.21875" style="63" customWidth="1"/>
    <col min="1034" max="1034" width="13.21875" style="63" customWidth="1"/>
    <col min="1035" max="1281" width="8.88671875" style="63"/>
    <col min="1282" max="1282" width="61" style="63" customWidth="1"/>
    <col min="1283" max="1283" width="11" style="63" bestFit="1" customWidth="1"/>
    <col min="1284" max="1284" width="8.88671875" style="63"/>
    <col min="1285" max="1285" width="15.44140625" style="63" customWidth="1"/>
    <col min="1286" max="1286" width="12.88671875" style="63" bestFit="1" customWidth="1"/>
    <col min="1287" max="1287" width="16.109375" style="63" customWidth="1"/>
    <col min="1288" max="1288" width="12.88671875" style="63" bestFit="1" customWidth="1"/>
    <col min="1289" max="1289" width="19.21875" style="63" customWidth="1"/>
    <col min="1290" max="1290" width="13.21875" style="63" customWidth="1"/>
    <col min="1291" max="1537" width="8.88671875" style="63"/>
    <col min="1538" max="1538" width="61" style="63" customWidth="1"/>
    <col min="1539" max="1539" width="11" style="63" bestFit="1" customWidth="1"/>
    <col min="1540" max="1540" width="8.88671875" style="63"/>
    <col min="1541" max="1541" width="15.44140625" style="63" customWidth="1"/>
    <col min="1542" max="1542" width="12.88671875" style="63" bestFit="1" customWidth="1"/>
    <col min="1543" max="1543" width="16.109375" style="63" customWidth="1"/>
    <col min="1544" max="1544" width="12.88671875" style="63" bestFit="1" customWidth="1"/>
    <col min="1545" max="1545" width="19.21875" style="63" customWidth="1"/>
    <col min="1546" max="1546" width="13.21875" style="63" customWidth="1"/>
    <col min="1547" max="1793" width="8.88671875" style="63"/>
    <col min="1794" max="1794" width="61" style="63" customWidth="1"/>
    <col min="1795" max="1795" width="11" style="63" bestFit="1" customWidth="1"/>
    <col min="1796" max="1796" width="8.88671875" style="63"/>
    <col min="1797" max="1797" width="15.44140625" style="63" customWidth="1"/>
    <col min="1798" max="1798" width="12.88671875" style="63" bestFit="1" customWidth="1"/>
    <col min="1799" max="1799" width="16.109375" style="63" customWidth="1"/>
    <col min="1800" max="1800" width="12.88671875" style="63" bestFit="1" customWidth="1"/>
    <col min="1801" max="1801" width="19.21875" style="63" customWidth="1"/>
    <col min="1802" max="1802" width="13.21875" style="63" customWidth="1"/>
    <col min="1803" max="2049" width="8.88671875" style="63"/>
    <col min="2050" max="2050" width="61" style="63" customWidth="1"/>
    <col min="2051" max="2051" width="11" style="63" bestFit="1" customWidth="1"/>
    <col min="2052" max="2052" width="8.88671875" style="63"/>
    <col min="2053" max="2053" width="15.44140625" style="63" customWidth="1"/>
    <col min="2054" max="2054" width="12.88671875" style="63" bestFit="1" customWidth="1"/>
    <col min="2055" max="2055" width="16.109375" style="63" customWidth="1"/>
    <col min="2056" max="2056" width="12.88671875" style="63" bestFit="1" customWidth="1"/>
    <col min="2057" max="2057" width="19.21875" style="63" customWidth="1"/>
    <col min="2058" max="2058" width="13.21875" style="63" customWidth="1"/>
    <col min="2059" max="2305" width="8.88671875" style="63"/>
    <col min="2306" max="2306" width="61" style="63" customWidth="1"/>
    <col min="2307" max="2307" width="11" style="63" bestFit="1" customWidth="1"/>
    <col min="2308" max="2308" width="8.88671875" style="63"/>
    <col min="2309" max="2309" width="15.44140625" style="63" customWidth="1"/>
    <col min="2310" max="2310" width="12.88671875" style="63" bestFit="1" customWidth="1"/>
    <col min="2311" max="2311" width="16.109375" style="63" customWidth="1"/>
    <col min="2312" max="2312" width="12.88671875" style="63" bestFit="1" customWidth="1"/>
    <col min="2313" max="2313" width="19.21875" style="63" customWidth="1"/>
    <col min="2314" max="2314" width="13.21875" style="63" customWidth="1"/>
    <col min="2315" max="2561" width="8.88671875" style="63"/>
    <col min="2562" max="2562" width="61" style="63" customWidth="1"/>
    <col min="2563" max="2563" width="11" style="63" bestFit="1" customWidth="1"/>
    <col min="2564" max="2564" width="8.88671875" style="63"/>
    <col min="2565" max="2565" width="15.44140625" style="63" customWidth="1"/>
    <col min="2566" max="2566" width="12.88671875" style="63" bestFit="1" customWidth="1"/>
    <col min="2567" max="2567" width="16.109375" style="63" customWidth="1"/>
    <col min="2568" max="2568" width="12.88671875" style="63" bestFit="1" customWidth="1"/>
    <col min="2569" max="2569" width="19.21875" style="63" customWidth="1"/>
    <col min="2570" max="2570" width="13.21875" style="63" customWidth="1"/>
    <col min="2571" max="2817" width="8.88671875" style="63"/>
    <col min="2818" max="2818" width="61" style="63" customWidth="1"/>
    <col min="2819" max="2819" width="11" style="63" bestFit="1" customWidth="1"/>
    <col min="2820" max="2820" width="8.88671875" style="63"/>
    <col min="2821" max="2821" width="15.44140625" style="63" customWidth="1"/>
    <col min="2822" max="2822" width="12.88671875" style="63" bestFit="1" customWidth="1"/>
    <col min="2823" max="2823" width="16.109375" style="63" customWidth="1"/>
    <col min="2824" max="2824" width="12.88671875" style="63" bestFit="1" customWidth="1"/>
    <col min="2825" max="2825" width="19.21875" style="63" customWidth="1"/>
    <col min="2826" max="2826" width="13.21875" style="63" customWidth="1"/>
    <col min="2827" max="3073" width="8.88671875" style="63"/>
    <col min="3074" max="3074" width="61" style="63" customWidth="1"/>
    <col min="3075" max="3075" width="11" style="63" bestFit="1" customWidth="1"/>
    <col min="3076" max="3076" width="8.88671875" style="63"/>
    <col min="3077" max="3077" width="15.44140625" style="63" customWidth="1"/>
    <col min="3078" max="3078" width="12.88671875" style="63" bestFit="1" customWidth="1"/>
    <col min="3079" max="3079" width="16.109375" style="63" customWidth="1"/>
    <col min="3080" max="3080" width="12.88671875" style="63" bestFit="1" customWidth="1"/>
    <col min="3081" max="3081" width="19.21875" style="63" customWidth="1"/>
    <col min="3082" max="3082" width="13.21875" style="63" customWidth="1"/>
    <col min="3083" max="3329" width="8.88671875" style="63"/>
    <col min="3330" max="3330" width="61" style="63" customWidth="1"/>
    <col min="3331" max="3331" width="11" style="63" bestFit="1" customWidth="1"/>
    <col min="3332" max="3332" width="8.88671875" style="63"/>
    <col min="3333" max="3333" width="15.44140625" style="63" customWidth="1"/>
    <col min="3334" max="3334" width="12.88671875" style="63" bestFit="1" customWidth="1"/>
    <col min="3335" max="3335" width="16.109375" style="63" customWidth="1"/>
    <col min="3336" max="3336" width="12.88671875" style="63" bestFit="1" customWidth="1"/>
    <col min="3337" max="3337" width="19.21875" style="63" customWidth="1"/>
    <col min="3338" max="3338" width="13.21875" style="63" customWidth="1"/>
    <col min="3339" max="3585" width="8.88671875" style="63"/>
    <col min="3586" max="3586" width="61" style="63" customWidth="1"/>
    <col min="3587" max="3587" width="11" style="63" bestFit="1" customWidth="1"/>
    <col min="3588" max="3588" width="8.88671875" style="63"/>
    <col min="3589" max="3589" width="15.44140625" style="63" customWidth="1"/>
    <col min="3590" max="3590" width="12.88671875" style="63" bestFit="1" customWidth="1"/>
    <col min="3591" max="3591" width="16.109375" style="63" customWidth="1"/>
    <col min="3592" max="3592" width="12.88671875" style="63" bestFit="1" customWidth="1"/>
    <col min="3593" max="3593" width="19.21875" style="63" customWidth="1"/>
    <col min="3594" max="3594" width="13.21875" style="63" customWidth="1"/>
    <col min="3595" max="3841" width="8.88671875" style="63"/>
    <col min="3842" max="3842" width="61" style="63" customWidth="1"/>
    <col min="3843" max="3843" width="11" style="63" bestFit="1" customWidth="1"/>
    <col min="3844" max="3844" width="8.88671875" style="63"/>
    <col min="3845" max="3845" width="15.44140625" style="63" customWidth="1"/>
    <col min="3846" max="3846" width="12.88671875" style="63" bestFit="1" customWidth="1"/>
    <col min="3847" max="3847" width="16.109375" style="63" customWidth="1"/>
    <col min="3848" max="3848" width="12.88671875" style="63" bestFit="1" customWidth="1"/>
    <col min="3849" max="3849" width="19.21875" style="63" customWidth="1"/>
    <col min="3850" max="3850" width="13.21875" style="63" customWidth="1"/>
    <col min="3851" max="4097" width="8.88671875" style="63"/>
    <col min="4098" max="4098" width="61" style="63" customWidth="1"/>
    <col min="4099" max="4099" width="11" style="63" bestFit="1" customWidth="1"/>
    <col min="4100" max="4100" width="8.88671875" style="63"/>
    <col min="4101" max="4101" width="15.44140625" style="63" customWidth="1"/>
    <col min="4102" max="4102" width="12.88671875" style="63" bestFit="1" customWidth="1"/>
    <col min="4103" max="4103" width="16.109375" style="63" customWidth="1"/>
    <col min="4104" max="4104" width="12.88671875" style="63" bestFit="1" customWidth="1"/>
    <col min="4105" max="4105" width="19.21875" style="63" customWidth="1"/>
    <col min="4106" max="4106" width="13.21875" style="63" customWidth="1"/>
    <col min="4107" max="4353" width="8.88671875" style="63"/>
    <col min="4354" max="4354" width="61" style="63" customWidth="1"/>
    <col min="4355" max="4355" width="11" style="63" bestFit="1" customWidth="1"/>
    <col min="4356" max="4356" width="8.88671875" style="63"/>
    <col min="4357" max="4357" width="15.44140625" style="63" customWidth="1"/>
    <col min="4358" max="4358" width="12.88671875" style="63" bestFit="1" customWidth="1"/>
    <col min="4359" max="4359" width="16.109375" style="63" customWidth="1"/>
    <col min="4360" max="4360" width="12.88671875" style="63" bestFit="1" customWidth="1"/>
    <col min="4361" max="4361" width="19.21875" style="63" customWidth="1"/>
    <col min="4362" max="4362" width="13.21875" style="63" customWidth="1"/>
    <col min="4363" max="4609" width="8.88671875" style="63"/>
    <col min="4610" max="4610" width="61" style="63" customWidth="1"/>
    <col min="4611" max="4611" width="11" style="63" bestFit="1" customWidth="1"/>
    <col min="4612" max="4612" width="8.88671875" style="63"/>
    <col min="4613" max="4613" width="15.44140625" style="63" customWidth="1"/>
    <col min="4614" max="4614" width="12.88671875" style="63" bestFit="1" customWidth="1"/>
    <col min="4615" max="4615" width="16.109375" style="63" customWidth="1"/>
    <col min="4616" max="4616" width="12.88671875" style="63" bestFit="1" customWidth="1"/>
    <col min="4617" max="4617" width="19.21875" style="63" customWidth="1"/>
    <col min="4618" max="4618" width="13.21875" style="63" customWidth="1"/>
    <col min="4619" max="4865" width="8.88671875" style="63"/>
    <col min="4866" max="4866" width="61" style="63" customWidth="1"/>
    <col min="4867" max="4867" width="11" style="63" bestFit="1" customWidth="1"/>
    <col min="4868" max="4868" width="8.88671875" style="63"/>
    <col min="4869" max="4869" width="15.44140625" style="63" customWidth="1"/>
    <col min="4870" max="4870" width="12.88671875" style="63" bestFit="1" customWidth="1"/>
    <col min="4871" max="4871" width="16.109375" style="63" customWidth="1"/>
    <col min="4872" max="4872" width="12.88671875" style="63" bestFit="1" customWidth="1"/>
    <col min="4873" max="4873" width="19.21875" style="63" customWidth="1"/>
    <col min="4874" max="4874" width="13.21875" style="63" customWidth="1"/>
    <col min="4875" max="5121" width="8.88671875" style="63"/>
    <col min="5122" max="5122" width="61" style="63" customWidth="1"/>
    <col min="5123" max="5123" width="11" style="63" bestFit="1" customWidth="1"/>
    <col min="5124" max="5124" width="8.88671875" style="63"/>
    <col min="5125" max="5125" width="15.44140625" style="63" customWidth="1"/>
    <col min="5126" max="5126" width="12.88671875" style="63" bestFit="1" customWidth="1"/>
    <col min="5127" max="5127" width="16.109375" style="63" customWidth="1"/>
    <col min="5128" max="5128" width="12.88671875" style="63" bestFit="1" customWidth="1"/>
    <col min="5129" max="5129" width="19.21875" style="63" customWidth="1"/>
    <col min="5130" max="5130" width="13.21875" style="63" customWidth="1"/>
    <col min="5131" max="5377" width="8.88671875" style="63"/>
    <col min="5378" max="5378" width="61" style="63" customWidth="1"/>
    <col min="5379" max="5379" width="11" style="63" bestFit="1" customWidth="1"/>
    <col min="5380" max="5380" width="8.88671875" style="63"/>
    <col min="5381" max="5381" width="15.44140625" style="63" customWidth="1"/>
    <col min="5382" max="5382" width="12.88671875" style="63" bestFit="1" customWidth="1"/>
    <col min="5383" max="5383" width="16.109375" style="63" customWidth="1"/>
    <col min="5384" max="5384" width="12.88671875" style="63" bestFit="1" customWidth="1"/>
    <col min="5385" max="5385" width="19.21875" style="63" customWidth="1"/>
    <col min="5386" max="5386" width="13.21875" style="63" customWidth="1"/>
    <col min="5387" max="5633" width="8.88671875" style="63"/>
    <col min="5634" max="5634" width="61" style="63" customWidth="1"/>
    <col min="5635" max="5635" width="11" style="63" bestFit="1" customWidth="1"/>
    <col min="5636" max="5636" width="8.88671875" style="63"/>
    <col min="5637" max="5637" width="15.44140625" style="63" customWidth="1"/>
    <col min="5638" max="5638" width="12.88671875" style="63" bestFit="1" customWidth="1"/>
    <col min="5639" max="5639" width="16.109375" style="63" customWidth="1"/>
    <col min="5640" max="5640" width="12.88671875" style="63" bestFit="1" customWidth="1"/>
    <col min="5641" max="5641" width="19.21875" style="63" customWidth="1"/>
    <col min="5642" max="5642" width="13.21875" style="63" customWidth="1"/>
    <col min="5643" max="5889" width="8.88671875" style="63"/>
    <col min="5890" max="5890" width="61" style="63" customWidth="1"/>
    <col min="5891" max="5891" width="11" style="63" bestFit="1" customWidth="1"/>
    <col min="5892" max="5892" width="8.88671875" style="63"/>
    <col min="5893" max="5893" width="15.44140625" style="63" customWidth="1"/>
    <col min="5894" max="5894" width="12.88671875" style="63" bestFit="1" customWidth="1"/>
    <col min="5895" max="5895" width="16.109375" style="63" customWidth="1"/>
    <col min="5896" max="5896" width="12.88671875" style="63" bestFit="1" customWidth="1"/>
    <col min="5897" max="5897" width="19.21875" style="63" customWidth="1"/>
    <col min="5898" max="5898" width="13.21875" style="63" customWidth="1"/>
    <col min="5899" max="6145" width="8.88671875" style="63"/>
    <col min="6146" max="6146" width="61" style="63" customWidth="1"/>
    <col min="6147" max="6147" width="11" style="63" bestFit="1" customWidth="1"/>
    <col min="6148" max="6148" width="8.88671875" style="63"/>
    <col min="6149" max="6149" width="15.44140625" style="63" customWidth="1"/>
    <col min="6150" max="6150" width="12.88671875" style="63" bestFit="1" customWidth="1"/>
    <col min="6151" max="6151" width="16.109375" style="63" customWidth="1"/>
    <col min="6152" max="6152" width="12.88671875" style="63" bestFit="1" customWidth="1"/>
    <col min="6153" max="6153" width="19.21875" style="63" customWidth="1"/>
    <col min="6154" max="6154" width="13.21875" style="63" customWidth="1"/>
    <col min="6155" max="6401" width="8.88671875" style="63"/>
    <col min="6402" max="6402" width="61" style="63" customWidth="1"/>
    <col min="6403" max="6403" width="11" style="63" bestFit="1" customWidth="1"/>
    <col min="6404" max="6404" width="8.88671875" style="63"/>
    <col min="6405" max="6405" width="15.44140625" style="63" customWidth="1"/>
    <col min="6406" max="6406" width="12.88671875" style="63" bestFit="1" customWidth="1"/>
    <col min="6407" max="6407" width="16.109375" style="63" customWidth="1"/>
    <col min="6408" max="6408" width="12.88671875" style="63" bestFit="1" customWidth="1"/>
    <col min="6409" max="6409" width="19.21875" style="63" customWidth="1"/>
    <col min="6410" max="6410" width="13.21875" style="63" customWidth="1"/>
    <col min="6411" max="6657" width="8.88671875" style="63"/>
    <col min="6658" max="6658" width="61" style="63" customWidth="1"/>
    <col min="6659" max="6659" width="11" style="63" bestFit="1" customWidth="1"/>
    <col min="6660" max="6660" width="8.88671875" style="63"/>
    <col min="6661" max="6661" width="15.44140625" style="63" customWidth="1"/>
    <col min="6662" max="6662" width="12.88671875" style="63" bestFit="1" customWidth="1"/>
    <col min="6663" max="6663" width="16.109375" style="63" customWidth="1"/>
    <col min="6664" max="6664" width="12.88671875" style="63" bestFit="1" customWidth="1"/>
    <col min="6665" max="6665" width="19.21875" style="63" customWidth="1"/>
    <col min="6666" max="6666" width="13.21875" style="63" customWidth="1"/>
    <col min="6667" max="6913" width="8.88671875" style="63"/>
    <col min="6914" max="6914" width="61" style="63" customWidth="1"/>
    <col min="6915" max="6915" width="11" style="63" bestFit="1" customWidth="1"/>
    <col min="6916" max="6916" width="8.88671875" style="63"/>
    <col min="6917" max="6917" width="15.44140625" style="63" customWidth="1"/>
    <col min="6918" max="6918" width="12.88671875" style="63" bestFit="1" customWidth="1"/>
    <col min="6919" max="6919" width="16.109375" style="63" customWidth="1"/>
    <col min="6920" max="6920" width="12.88671875" style="63" bestFit="1" customWidth="1"/>
    <col min="6921" max="6921" width="19.21875" style="63" customWidth="1"/>
    <col min="6922" max="6922" width="13.21875" style="63" customWidth="1"/>
    <col min="6923" max="7169" width="8.88671875" style="63"/>
    <col min="7170" max="7170" width="61" style="63" customWidth="1"/>
    <col min="7171" max="7171" width="11" style="63" bestFit="1" customWidth="1"/>
    <col min="7172" max="7172" width="8.88671875" style="63"/>
    <col min="7173" max="7173" width="15.44140625" style="63" customWidth="1"/>
    <col min="7174" max="7174" width="12.88671875" style="63" bestFit="1" customWidth="1"/>
    <col min="7175" max="7175" width="16.109375" style="63" customWidth="1"/>
    <col min="7176" max="7176" width="12.88671875" style="63" bestFit="1" customWidth="1"/>
    <col min="7177" max="7177" width="19.21875" style="63" customWidth="1"/>
    <col min="7178" max="7178" width="13.21875" style="63" customWidth="1"/>
    <col min="7179" max="7425" width="8.88671875" style="63"/>
    <col min="7426" max="7426" width="61" style="63" customWidth="1"/>
    <col min="7427" max="7427" width="11" style="63" bestFit="1" customWidth="1"/>
    <col min="7428" max="7428" width="8.88671875" style="63"/>
    <col min="7429" max="7429" width="15.44140625" style="63" customWidth="1"/>
    <col min="7430" max="7430" width="12.88671875" style="63" bestFit="1" customWidth="1"/>
    <col min="7431" max="7431" width="16.109375" style="63" customWidth="1"/>
    <col min="7432" max="7432" width="12.88671875" style="63" bestFit="1" customWidth="1"/>
    <col min="7433" max="7433" width="19.21875" style="63" customWidth="1"/>
    <col min="7434" max="7434" width="13.21875" style="63" customWidth="1"/>
    <col min="7435" max="7681" width="8.88671875" style="63"/>
    <col min="7682" max="7682" width="61" style="63" customWidth="1"/>
    <col min="7683" max="7683" width="11" style="63" bestFit="1" customWidth="1"/>
    <col min="7684" max="7684" width="8.88671875" style="63"/>
    <col min="7685" max="7685" width="15.44140625" style="63" customWidth="1"/>
    <col min="7686" max="7686" width="12.88671875" style="63" bestFit="1" customWidth="1"/>
    <col min="7687" max="7687" width="16.109375" style="63" customWidth="1"/>
    <col min="7688" max="7688" width="12.88671875" style="63" bestFit="1" customWidth="1"/>
    <col min="7689" max="7689" width="19.21875" style="63" customWidth="1"/>
    <col min="7690" max="7690" width="13.21875" style="63" customWidth="1"/>
    <col min="7691" max="7937" width="8.88671875" style="63"/>
    <col min="7938" max="7938" width="61" style="63" customWidth="1"/>
    <col min="7939" max="7939" width="11" style="63" bestFit="1" customWidth="1"/>
    <col min="7940" max="7940" width="8.88671875" style="63"/>
    <col min="7941" max="7941" width="15.44140625" style="63" customWidth="1"/>
    <col min="7942" max="7942" width="12.88671875" style="63" bestFit="1" customWidth="1"/>
    <col min="7943" max="7943" width="16.109375" style="63" customWidth="1"/>
    <col min="7944" max="7944" width="12.88671875" style="63" bestFit="1" customWidth="1"/>
    <col min="7945" max="7945" width="19.21875" style="63" customWidth="1"/>
    <col min="7946" max="7946" width="13.21875" style="63" customWidth="1"/>
    <col min="7947" max="8193" width="8.88671875" style="63"/>
    <col min="8194" max="8194" width="61" style="63" customWidth="1"/>
    <col min="8195" max="8195" width="11" style="63" bestFit="1" customWidth="1"/>
    <col min="8196" max="8196" width="8.88671875" style="63"/>
    <col min="8197" max="8197" width="15.44140625" style="63" customWidth="1"/>
    <col min="8198" max="8198" width="12.88671875" style="63" bestFit="1" customWidth="1"/>
    <col min="8199" max="8199" width="16.109375" style="63" customWidth="1"/>
    <col min="8200" max="8200" width="12.88671875" style="63" bestFit="1" customWidth="1"/>
    <col min="8201" max="8201" width="19.21875" style="63" customWidth="1"/>
    <col min="8202" max="8202" width="13.21875" style="63" customWidth="1"/>
    <col min="8203" max="8449" width="8.88671875" style="63"/>
    <col min="8450" max="8450" width="61" style="63" customWidth="1"/>
    <col min="8451" max="8451" width="11" style="63" bestFit="1" customWidth="1"/>
    <col min="8452" max="8452" width="8.88671875" style="63"/>
    <col min="8453" max="8453" width="15.44140625" style="63" customWidth="1"/>
    <col min="8454" max="8454" width="12.88671875" style="63" bestFit="1" customWidth="1"/>
    <col min="8455" max="8455" width="16.109375" style="63" customWidth="1"/>
    <col min="8456" max="8456" width="12.88671875" style="63" bestFit="1" customWidth="1"/>
    <col min="8457" max="8457" width="19.21875" style="63" customWidth="1"/>
    <col min="8458" max="8458" width="13.21875" style="63" customWidth="1"/>
    <col min="8459" max="8705" width="8.88671875" style="63"/>
    <col min="8706" max="8706" width="61" style="63" customWidth="1"/>
    <col min="8707" max="8707" width="11" style="63" bestFit="1" customWidth="1"/>
    <col min="8708" max="8708" width="8.88671875" style="63"/>
    <col min="8709" max="8709" width="15.44140625" style="63" customWidth="1"/>
    <col min="8710" max="8710" width="12.88671875" style="63" bestFit="1" customWidth="1"/>
    <col min="8711" max="8711" width="16.109375" style="63" customWidth="1"/>
    <col min="8712" max="8712" width="12.88671875" style="63" bestFit="1" customWidth="1"/>
    <col min="8713" max="8713" width="19.21875" style="63" customWidth="1"/>
    <col min="8714" max="8714" width="13.21875" style="63" customWidth="1"/>
    <col min="8715" max="8961" width="8.88671875" style="63"/>
    <col min="8962" max="8962" width="61" style="63" customWidth="1"/>
    <col min="8963" max="8963" width="11" style="63" bestFit="1" customWidth="1"/>
    <col min="8964" max="8964" width="8.88671875" style="63"/>
    <col min="8965" max="8965" width="15.44140625" style="63" customWidth="1"/>
    <col min="8966" max="8966" width="12.88671875" style="63" bestFit="1" customWidth="1"/>
    <col min="8967" max="8967" width="16.109375" style="63" customWidth="1"/>
    <col min="8968" max="8968" width="12.88671875" style="63" bestFit="1" customWidth="1"/>
    <col min="8969" max="8969" width="19.21875" style="63" customWidth="1"/>
    <col min="8970" max="8970" width="13.21875" style="63" customWidth="1"/>
    <col min="8971" max="9217" width="8.88671875" style="63"/>
    <col min="9218" max="9218" width="61" style="63" customWidth="1"/>
    <col min="9219" max="9219" width="11" style="63" bestFit="1" customWidth="1"/>
    <col min="9220" max="9220" width="8.88671875" style="63"/>
    <col min="9221" max="9221" width="15.44140625" style="63" customWidth="1"/>
    <col min="9222" max="9222" width="12.88671875" style="63" bestFit="1" customWidth="1"/>
    <col min="9223" max="9223" width="16.109375" style="63" customWidth="1"/>
    <col min="9224" max="9224" width="12.88671875" style="63" bestFit="1" customWidth="1"/>
    <col min="9225" max="9225" width="19.21875" style="63" customWidth="1"/>
    <col min="9226" max="9226" width="13.21875" style="63" customWidth="1"/>
    <col min="9227" max="9473" width="8.88671875" style="63"/>
    <col min="9474" max="9474" width="61" style="63" customWidth="1"/>
    <col min="9475" max="9475" width="11" style="63" bestFit="1" customWidth="1"/>
    <col min="9476" max="9476" width="8.88671875" style="63"/>
    <col min="9477" max="9477" width="15.44140625" style="63" customWidth="1"/>
    <col min="9478" max="9478" width="12.88671875" style="63" bestFit="1" customWidth="1"/>
    <col min="9479" max="9479" width="16.109375" style="63" customWidth="1"/>
    <col min="9480" max="9480" width="12.88671875" style="63" bestFit="1" customWidth="1"/>
    <col min="9481" max="9481" width="19.21875" style="63" customWidth="1"/>
    <col min="9482" max="9482" width="13.21875" style="63" customWidth="1"/>
    <col min="9483" max="9729" width="8.88671875" style="63"/>
    <col min="9730" max="9730" width="61" style="63" customWidth="1"/>
    <col min="9731" max="9731" width="11" style="63" bestFit="1" customWidth="1"/>
    <col min="9732" max="9732" width="8.88671875" style="63"/>
    <col min="9733" max="9733" width="15.44140625" style="63" customWidth="1"/>
    <col min="9734" max="9734" width="12.88671875" style="63" bestFit="1" customWidth="1"/>
    <col min="9735" max="9735" width="16.109375" style="63" customWidth="1"/>
    <col min="9736" max="9736" width="12.88671875" style="63" bestFit="1" customWidth="1"/>
    <col min="9737" max="9737" width="19.21875" style="63" customWidth="1"/>
    <col min="9738" max="9738" width="13.21875" style="63" customWidth="1"/>
    <col min="9739" max="9985" width="8.88671875" style="63"/>
    <col min="9986" max="9986" width="61" style="63" customWidth="1"/>
    <col min="9987" max="9987" width="11" style="63" bestFit="1" customWidth="1"/>
    <col min="9988" max="9988" width="8.88671875" style="63"/>
    <col min="9989" max="9989" width="15.44140625" style="63" customWidth="1"/>
    <col min="9990" max="9990" width="12.88671875" style="63" bestFit="1" customWidth="1"/>
    <col min="9991" max="9991" width="16.109375" style="63" customWidth="1"/>
    <col min="9992" max="9992" width="12.88671875" style="63" bestFit="1" customWidth="1"/>
    <col min="9993" max="9993" width="19.21875" style="63" customWidth="1"/>
    <col min="9994" max="9994" width="13.21875" style="63" customWidth="1"/>
    <col min="9995" max="10241" width="8.88671875" style="63"/>
    <col min="10242" max="10242" width="61" style="63" customWidth="1"/>
    <col min="10243" max="10243" width="11" style="63" bestFit="1" customWidth="1"/>
    <col min="10244" max="10244" width="8.88671875" style="63"/>
    <col min="10245" max="10245" width="15.44140625" style="63" customWidth="1"/>
    <col min="10246" max="10246" width="12.88671875" style="63" bestFit="1" customWidth="1"/>
    <col min="10247" max="10247" width="16.109375" style="63" customWidth="1"/>
    <col min="10248" max="10248" width="12.88671875" style="63" bestFit="1" customWidth="1"/>
    <col min="10249" max="10249" width="19.21875" style="63" customWidth="1"/>
    <col min="10250" max="10250" width="13.21875" style="63" customWidth="1"/>
    <col min="10251" max="10497" width="8.88671875" style="63"/>
    <col min="10498" max="10498" width="61" style="63" customWidth="1"/>
    <col min="10499" max="10499" width="11" style="63" bestFit="1" customWidth="1"/>
    <col min="10500" max="10500" width="8.88671875" style="63"/>
    <col min="10501" max="10501" width="15.44140625" style="63" customWidth="1"/>
    <col min="10502" max="10502" width="12.88671875" style="63" bestFit="1" customWidth="1"/>
    <col min="10503" max="10503" width="16.109375" style="63" customWidth="1"/>
    <col min="10504" max="10504" width="12.88671875" style="63" bestFit="1" customWidth="1"/>
    <col min="10505" max="10505" width="19.21875" style="63" customWidth="1"/>
    <col min="10506" max="10506" width="13.21875" style="63" customWidth="1"/>
    <col min="10507" max="10753" width="8.88671875" style="63"/>
    <col min="10754" max="10754" width="61" style="63" customWidth="1"/>
    <col min="10755" max="10755" width="11" style="63" bestFit="1" customWidth="1"/>
    <col min="10756" max="10756" width="8.88671875" style="63"/>
    <col min="10757" max="10757" width="15.44140625" style="63" customWidth="1"/>
    <col min="10758" max="10758" width="12.88671875" style="63" bestFit="1" customWidth="1"/>
    <col min="10759" max="10759" width="16.109375" style="63" customWidth="1"/>
    <col min="10760" max="10760" width="12.88671875" style="63" bestFit="1" customWidth="1"/>
    <col min="10761" max="10761" width="19.21875" style="63" customWidth="1"/>
    <col min="10762" max="10762" width="13.21875" style="63" customWidth="1"/>
    <col min="10763" max="11009" width="8.88671875" style="63"/>
    <col min="11010" max="11010" width="61" style="63" customWidth="1"/>
    <col min="11011" max="11011" width="11" style="63" bestFit="1" customWidth="1"/>
    <col min="11012" max="11012" width="8.88671875" style="63"/>
    <col min="11013" max="11013" width="15.44140625" style="63" customWidth="1"/>
    <col min="11014" max="11014" width="12.88671875" style="63" bestFit="1" customWidth="1"/>
    <col min="11015" max="11015" width="16.109375" style="63" customWidth="1"/>
    <col min="11016" max="11016" width="12.88671875" style="63" bestFit="1" customWidth="1"/>
    <col min="11017" max="11017" width="19.21875" style="63" customWidth="1"/>
    <col min="11018" max="11018" width="13.21875" style="63" customWidth="1"/>
    <col min="11019" max="11265" width="8.88671875" style="63"/>
    <col min="11266" max="11266" width="61" style="63" customWidth="1"/>
    <col min="11267" max="11267" width="11" style="63" bestFit="1" customWidth="1"/>
    <col min="11268" max="11268" width="8.88671875" style="63"/>
    <col min="11269" max="11269" width="15.44140625" style="63" customWidth="1"/>
    <col min="11270" max="11270" width="12.88671875" style="63" bestFit="1" customWidth="1"/>
    <col min="11271" max="11271" width="16.109375" style="63" customWidth="1"/>
    <col min="11272" max="11272" width="12.88671875" style="63" bestFit="1" customWidth="1"/>
    <col min="11273" max="11273" width="19.21875" style="63" customWidth="1"/>
    <col min="11274" max="11274" width="13.21875" style="63" customWidth="1"/>
    <col min="11275" max="11521" width="8.88671875" style="63"/>
    <col min="11522" max="11522" width="61" style="63" customWidth="1"/>
    <col min="11523" max="11523" width="11" style="63" bestFit="1" customWidth="1"/>
    <col min="11524" max="11524" width="8.88671875" style="63"/>
    <col min="11525" max="11525" width="15.44140625" style="63" customWidth="1"/>
    <col min="11526" max="11526" width="12.88671875" style="63" bestFit="1" customWidth="1"/>
    <col min="11527" max="11527" width="16.109375" style="63" customWidth="1"/>
    <col min="11528" max="11528" width="12.88671875" style="63" bestFit="1" customWidth="1"/>
    <col min="11529" max="11529" width="19.21875" style="63" customWidth="1"/>
    <col min="11530" max="11530" width="13.21875" style="63" customWidth="1"/>
    <col min="11531" max="11777" width="8.88671875" style="63"/>
    <col min="11778" max="11778" width="61" style="63" customWidth="1"/>
    <col min="11779" max="11779" width="11" style="63" bestFit="1" customWidth="1"/>
    <col min="11780" max="11780" width="8.88671875" style="63"/>
    <col min="11781" max="11781" width="15.44140625" style="63" customWidth="1"/>
    <col min="11782" max="11782" width="12.88671875" style="63" bestFit="1" customWidth="1"/>
    <col min="11783" max="11783" width="16.109375" style="63" customWidth="1"/>
    <col min="11784" max="11784" width="12.88671875" style="63" bestFit="1" customWidth="1"/>
    <col min="11785" max="11785" width="19.21875" style="63" customWidth="1"/>
    <col min="11786" max="11786" width="13.21875" style="63" customWidth="1"/>
    <col min="11787" max="12033" width="8.88671875" style="63"/>
    <col min="12034" max="12034" width="61" style="63" customWidth="1"/>
    <col min="12035" max="12035" width="11" style="63" bestFit="1" customWidth="1"/>
    <col min="12036" max="12036" width="8.88671875" style="63"/>
    <col min="12037" max="12037" width="15.44140625" style="63" customWidth="1"/>
    <col min="12038" max="12038" width="12.88671875" style="63" bestFit="1" customWidth="1"/>
    <col min="12039" max="12039" width="16.109375" style="63" customWidth="1"/>
    <col min="12040" max="12040" width="12.88671875" style="63" bestFit="1" customWidth="1"/>
    <col min="12041" max="12041" width="19.21875" style="63" customWidth="1"/>
    <col min="12042" max="12042" width="13.21875" style="63" customWidth="1"/>
    <col min="12043" max="12289" width="8.88671875" style="63"/>
    <col min="12290" max="12290" width="61" style="63" customWidth="1"/>
    <col min="12291" max="12291" width="11" style="63" bestFit="1" customWidth="1"/>
    <col min="12292" max="12292" width="8.88671875" style="63"/>
    <col min="12293" max="12293" width="15.44140625" style="63" customWidth="1"/>
    <col min="12294" max="12294" width="12.88671875" style="63" bestFit="1" customWidth="1"/>
    <col min="12295" max="12295" width="16.109375" style="63" customWidth="1"/>
    <col min="12296" max="12296" width="12.88671875" style="63" bestFit="1" customWidth="1"/>
    <col min="12297" max="12297" width="19.21875" style="63" customWidth="1"/>
    <col min="12298" max="12298" width="13.21875" style="63" customWidth="1"/>
    <col min="12299" max="12545" width="8.88671875" style="63"/>
    <col min="12546" max="12546" width="61" style="63" customWidth="1"/>
    <col min="12547" max="12547" width="11" style="63" bestFit="1" customWidth="1"/>
    <col min="12548" max="12548" width="8.88671875" style="63"/>
    <col min="12549" max="12549" width="15.44140625" style="63" customWidth="1"/>
    <col min="12550" max="12550" width="12.88671875" style="63" bestFit="1" customWidth="1"/>
    <col min="12551" max="12551" width="16.109375" style="63" customWidth="1"/>
    <col min="12552" max="12552" width="12.88671875" style="63" bestFit="1" customWidth="1"/>
    <col min="12553" max="12553" width="19.21875" style="63" customWidth="1"/>
    <col min="12554" max="12554" width="13.21875" style="63" customWidth="1"/>
    <col min="12555" max="12801" width="8.88671875" style="63"/>
    <col min="12802" max="12802" width="61" style="63" customWidth="1"/>
    <col min="12803" max="12803" width="11" style="63" bestFit="1" customWidth="1"/>
    <col min="12804" max="12804" width="8.88671875" style="63"/>
    <col min="12805" max="12805" width="15.44140625" style="63" customWidth="1"/>
    <col min="12806" max="12806" width="12.88671875" style="63" bestFit="1" customWidth="1"/>
    <col min="12807" max="12807" width="16.109375" style="63" customWidth="1"/>
    <col min="12808" max="12808" width="12.88671875" style="63" bestFit="1" customWidth="1"/>
    <col min="12809" max="12809" width="19.21875" style="63" customWidth="1"/>
    <col min="12810" max="12810" width="13.21875" style="63" customWidth="1"/>
    <col min="12811" max="13057" width="8.88671875" style="63"/>
    <col min="13058" max="13058" width="61" style="63" customWidth="1"/>
    <col min="13059" max="13059" width="11" style="63" bestFit="1" customWidth="1"/>
    <col min="13060" max="13060" width="8.88671875" style="63"/>
    <col min="13061" max="13061" width="15.44140625" style="63" customWidth="1"/>
    <col min="13062" max="13062" width="12.88671875" style="63" bestFit="1" customWidth="1"/>
    <col min="13063" max="13063" width="16.109375" style="63" customWidth="1"/>
    <col min="13064" max="13064" width="12.88671875" style="63" bestFit="1" customWidth="1"/>
    <col min="13065" max="13065" width="19.21875" style="63" customWidth="1"/>
    <col min="13066" max="13066" width="13.21875" style="63" customWidth="1"/>
    <col min="13067" max="13313" width="8.88671875" style="63"/>
    <col min="13314" max="13314" width="61" style="63" customWidth="1"/>
    <col min="13315" max="13315" width="11" style="63" bestFit="1" customWidth="1"/>
    <col min="13316" max="13316" width="8.88671875" style="63"/>
    <col min="13317" max="13317" width="15.44140625" style="63" customWidth="1"/>
    <col min="13318" max="13318" width="12.88671875" style="63" bestFit="1" customWidth="1"/>
    <col min="13319" max="13319" width="16.109375" style="63" customWidth="1"/>
    <col min="13320" max="13320" width="12.88671875" style="63" bestFit="1" customWidth="1"/>
    <col min="13321" max="13321" width="19.21875" style="63" customWidth="1"/>
    <col min="13322" max="13322" width="13.21875" style="63" customWidth="1"/>
    <col min="13323" max="13569" width="8.88671875" style="63"/>
    <col min="13570" max="13570" width="61" style="63" customWidth="1"/>
    <col min="13571" max="13571" width="11" style="63" bestFit="1" customWidth="1"/>
    <col min="13572" max="13572" width="8.88671875" style="63"/>
    <col min="13573" max="13573" width="15.44140625" style="63" customWidth="1"/>
    <col min="13574" max="13574" width="12.88671875" style="63" bestFit="1" customWidth="1"/>
    <col min="13575" max="13575" width="16.109375" style="63" customWidth="1"/>
    <col min="13576" max="13576" width="12.88671875" style="63" bestFit="1" customWidth="1"/>
    <col min="13577" max="13577" width="19.21875" style="63" customWidth="1"/>
    <col min="13578" max="13578" width="13.21875" style="63" customWidth="1"/>
    <col min="13579" max="13825" width="8.88671875" style="63"/>
    <col min="13826" max="13826" width="61" style="63" customWidth="1"/>
    <col min="13827" max="13827" width="11" style="63" bestFit="1" customWidth="1"/>
    <col min="13828" max="13828" width="8.88671875" style="63"/>
    <col min="13829" max="13829" width="15.44140625" style="63" customWidth="1"/>
    <col min="13830" max="13830" width="12.88671875" style="63" bestFit="1" customWidth="1"/>
    <col min="13831" max="13831" width="16.109375" style="63" customWidth="1"/>
    <col min="13832" max="13832" width="12.88671875" style="63" bestFit="1" customWidth="1"/>
    <col min="13833" max="13833" width="19.21875" style="63" customWidth="1"/>
    <col min="13834" max="13834" width="13.21875" style="63" customWidth="1"/>
    <col min="13835" max="14081" width="8.88671875" style="63"/>
    <col min="14082" max="14082" width="61" style="63" customWidth="1"/>
    <col min="14083" max="14083" width="11" style="63" bestFit="1" customWidth="1"/>
    <col min="14084" max="14084" width="8.88671875" style="63"/>
    <col min="14085" max="14085" width="15.44140625" style="63" customWidth="1"/>
    <col min="14086" max="14086" width="12.88671875" style="63" bestFit="1" customWidth="1"/>
    <col min="14087" max="14087" width="16.109375" style="63" customWidth="1"/>
    <col min="14088" max="14088" width="12.88671875" style="63" bestFit="1" customWidth="1"/>
    <col min="14089" max="14089" width="19.21875" style="63" customWidth="1"/>
    <col min="14090" max="14090" width="13.21875" style="63" customWidth="1"/>
    <col min="14091" max="14337" width="8.88671875" style="63"/>
    <col min="14338" max="14338" width="61" style="63" customWidth="1"/>
    <col min="14339" max="14339" width="11" style="63" bestFit="1" customWidth="1"/>
    <col min="14340" max="14340" width="8.88671875" style="63"/>
    <col min="14341" max="14341" width="15.44140625" style="63" customWidth="1"/>
    <col min="14342" max="14342" width="12.88671875" style="63" bestFit="1" customWidth="1"/>
    <col min="14343" max="14343" width="16.109375" style="63" customWidth="1"/>
    <col min="14344" max="14344" width="12.88671875" style="63" bestFit="1" customWidth="1"/>
    <col min="14345" max="14345" width="19.21875" style="63" customWidth="1"/>
    <col min="14346" max="14346" width="13.21875" style="63" customWidth="1"/>
    <col min="14347" max="14593" width="8.88671875" style="63"/>
    <col min="14594" max="14594" width="61" style="63" customWidth="1"/>
    <col min="14595" max="14595" width="11" style="63" bestFit="1" customWidth="1"/>
    <col min="14596" max="14596" width="8.88671875" style="63"/>
    <col min="14597" max="14597" width="15.44140625" style="63" customWidth="1"/>
    <col min="14598" max="14598" width="12.88671875" style="63" bestFit="1" customWidth="1"/>
    <col min="14599" max="14599" width="16.109375" style="63" customWidth="1"/>
    <col min="14600" max="14600" width="12.88671875" style="63" bestFit="1" customWidth="1"/>
    <col min="14601" max="14601" width="19.21875" style="63" customWidth="1"/>
    <col min="14602" max="14602" width="13.21875" style="63" customWidth="1"/>
    <col min="14603" max="14849" width="8.88671875" style="63"/>
    <col min="14850" max="14850" width="61" style="63" customWidth="1"/>
    <col min="14851" max="14851" width="11" style="63" bestFit="1" customWidth="1"/>
    <col min="14852" max="14852" width="8.88671875" style="63"/>
    <col min="14853" max="14853" width="15.44140625" style="63" customWidth="1"/>
    <col min="14854" max="14854" width="12.88671875" style="63" bestFit="1" customWidth="1"/>
    <col min="14855" max="14855" width="16.109375" style="63" customWidth="1"/>
    <col min="14856" max="14856" width="12.88671875" style="63" bestFit="1" customWidth="1"/>
    <col min="14857" max="14857" width="19.21875" style="63" customWidth="1"/>
    <col min="14858" max="14858" width="13.21875" style="63" customWidth="1"/>
    <col min="14859" max="15105" width="8.88671875" style="63"/>
    <col min="15106" max="15106" width="61" style="63" customWidth="1"/>
    <col min="15107" max="15107" width="11" style="63" bestFit="1" customWidth="1"/>
    <col min="15108" max="15108" width="8.88671875" style="63"/>
    <col min="15109" max="15109" width="15.44140625" style="63" customWidth="1"/>
    <col min="15110" max="15110" width="12.88671875" style="63" bestFit="1" customWidth="1"/>
    <col min="15111" max="15111" width="16.109375" style="63" customWidth="1"/>
    <col min="15112" max="15112" width="12.88671875" style="63" bestFit="1" customWidth="1"/>
    <col min="15113" max="15113" width="19.21875" style="63" customWidth="1"/>
    <col min="15114" max="15114" width="13.21875" style="63" customWidth="1"/>
    <col min="15115" max="15361" width="8.88671875" style="63"/>
    <col min="15362" max="15362" width="61" style="63" customWidth="1"/>
    <col min="15363" max="15363" width="11" style="63" bestFit="1" customWidth="1"/>
    <col min="15364" max="15364" width="8.88671875" style="63"/>
    <col min="15365" max="15365" width="15.44140625" style="63" customWidth="1"/>
    <col min="15366" max="15366" width="12.88671875" style="63" bestFit="1" customWidth="1"/>
    <col min="15367" max="15367" width="16.109375" style="63" customWidth="1"/>
    <col min="15368" max="15368" width="12.88671875" style="63" bestFit="1" customWidth="1"/>
    <col min="15369" max="15369" width="19.21875" style="63" customWidth="1"/>
    <col min="15370" max="15370" width="13.21875" style="63" customWidth="1"/>
    <col min="15371" max="15617" width="8.88671875" style="63"/>
    <col min="15618" max="15618" width="61" style="63" customWidth="1"/>
    <col min="15619" max="15619" width="11" style="63" bestFit="1" customWidth="1"/>
    <col min="15620" max="15620" width="8.88671875" style="63"/>
    <col min="15621" max="15621" width="15.44140625" style="63" customWidth="1"/>
    <col min="15622" max="15622" width="12.88671875" style="63" bestFit="1" customWidth="1"/>
    <col min="15623" max="15623" width="16.109375" style="63" customWidth="1"/>
    <col min="15624" max="15624" width="12.88671875" style="63" bestFit="1" customWidth="1"/>
    <col min="15625" max="15625" width="19.21875" style="63" customWidth="1"/>
    <col min="15626" max="15626" width="13.21875" style="63" customWidth="1"/>
    <col min="15627" max="15873" width="8.88671875" style="63"/>
    <col min="15874" max="15874" width="61" style="63" customWidth="1"/>
    <col min="15875" max="15875" width="11" style="63" bestFit="1" customWidth="1"/>
    <col min="15876" max="15876" width="8.88671875" style="63"/>
    <col min="15877" max="15877" width="15.44140625" style="63" customWidth="1"/>
    <col min="15878" max="15878" width="12.88671875" style="63" bestFit="1" customWidth="1"/>
    <col min="15879" max="15879" width="16.109375" style="63" customWidth="1"/>
    <col min="15880" max="15880" width="12.88671875" style="63" bestFit="1" customWidth="1"/>
    <col min="15881" max="15881" width="19.21875" style="63" customWidth="1"/>
    <col min="15882" max="15882" width="13.21875" style="63" customWidth="1"/>
    <col min="15883" max="16129" width="8.88671875" style="63"/>
    <col min="16130" max="16130" width="61" style="63" customWidth="1"/>
    <col min="16131" max="16131" width="11" style="63" bestFit="1" customWidth="1"/>
    <col min="16132" max="16132" width="8.88671875" style="63"/>
    <col min="16133" max="16133" width="15.44140625" style="63" customWidth="1"/>
    <col min="16134" max="16134" width="12.88671875" style="63" bestFit="1" customWidth="1"/>
    <col min="16135" max="16135" width="16.109375" style="63" customWidth="1"/>
    <col min="16136" max="16136" width="12.88671875" style="63" bestFit="1" customWidth="1"/>
    <col min="16137" max="16137" width="19.21875" style="63" customWidth="1"/>
    <col min="16138" max="16138" width="13.21875" style="63" customWidth="1"/>
    <col min="16139" max="16384" width="8.88671875" style="63"/>
  </cols>
  <sheetData>
    <row r="1" spans="1:10">
      <c r="A1" s="425" t="s">
        <v>359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>
      <c r="A2" s="426" t="s">
        <v>360</v>
      </c>
      <c r="B2" s="427"/>
      <c r="C2" s="427"/>
      <c r="D2" s="427"/>
      <c r="E2" s="427"/>
      <c r="F2" s="427"/>
      <c r="G2" s="427"/>
      <c r="H2" s="427"/>
      <c r="I2" s="427"/>
      <c r="J2" s="427"/>
    </row>
    <row r="3" spans="1:10">
      <c r="A3" s="428" t="s">
        <v>361</v>
      </c>
      <c r="B3" s="428" t="s">
        <v>0</v>
      </c>
      <c r="C3" s="428" t="s">
        <v>22</v>
      </c>
      <c r="D3" s="428" t="s">
        <v>1</v>
      </c>
      <c r="E3" s="430" t="s">
        <v>362</v>
      </c>
      <c r="F3" s="431"/>
      <c r="G3" s="430" t="s">
        <v>363</v>
      </c>
      <c r="H3" s="431"/>
      <c r="I3" s="308" t="s">
        <v>364</v>
      </c>
      <c r="J3" s="428" t="s">
        <v>365</v>
      </c>
    </row>
    <row r="4" spans="1:10">
      <c r="A4" s="429"/>
      <c r="B4" s="429"/>
      <c r="C4" s="429"/>
      <c r="D4" s="429"/>
      <c r="E4" s="309" t="s">
        <v>366</v>
      </c>
      <c r="F4" s="310" t="s">
        <v>367</v>
      </c>
      <c r="G4" s="310" t="s">
        <v>366</v>
      </c>
      <c r="H4" s="311" t="s">
        <v>367</v>
      </c>
      <c r="I4" s="312" t="s">
        <v>368</v>
      </c>
      <c r="J4" s="429"/>
    </row>
    <row r="5" spans="1:10">
      <c r="A5" s="313"/>
      <c r="B5" s="313" t="s">
        <v>369</v>
      </c>
      <c r="C5" s="331">
        <v>0.17</v>
      </c>
      <c r="D5" s="315" t="s">
        <v>370</v>
      </c>
      <c r="E5" s="314">
        <f>'1.ค่าวัสดุและดำเนินการ'!K40</f>
        <v>713.08</v>
      </c>
      <c r="F5" s="314">
        <f>ROUND(C5*E5,2)</f>
        <v>121.22</v>
      </c>
      <c r="G5" s="314">
        <v>0</v>
      </c>
      <c r="H5" s="314">
        <f>ROUND(C5*G5,2)</f>
        <v>0</v>
      </c>
      <c r="I5" s="316">
        <f>ROUND(F5+H5,2)</f>
        <v>121.22</v>
      </c>
      <c r="J5" s="317"/>
    </row>
    <row r="6" spans="1:10">
      <c r="A6" s="313"/>
      <c r="B6" s="313" t="s">
        <v>371</v>
      </c>
      <c r="C6" s="331">
        <v>0.3</v>
      </c>
      <c r="D6" s="315" t="s">
        <v>161</v>
      </c>
      <c r="E6" s="314">
        <f>'1.ค่าวัสดุและดำเนินการ'!K41</f>
        <v>526.16999999999996</v>
      </c>
      <c r="F6" s="314">
        <f>ROUND(C6*E6,2)</f>
        <v>157.85</v>
      </c>
      <c r="G6" s="314">
        <v>0</v>
      </c>
      <c r="H6" s="314">
        <f>ROUND(C6*G6,2)</f>
        <v>0</v>
      </c>
      <c r="I6" s="314">
        <f>ROUND(F6+H6,2)</f>
        <v>157.85</v>
      </c>
      <c r="J6" s="313"/>
    </row>
    <row r="7" spans="1:10">
      <c r="A7" s="313"/>
      <c r="B7" s="313" t="s">
        <v>384</v>
      </c>
      <c r="C7" s="331">
        <v>0.57999999999999996</v>
      </c>
      <c r="D7" s="315" t="s">
        <v>161</v>
      </c>
      <c r="E7" s="314">
        <f>'1.ค่าวัสดุและดำเนินการ'!K42</f>
        <v>116.82</v>
      </c>
      <c r="F7" s="314">
        <f t="shared" ref="F7:F13" si="0">ROUND(C7*E7,2)</f>
        <v>67.760000000000005</v>
      </c>
      <c r="G7" s="314">
        <v>0</v>
      </c>
      <c r="H7" s="314">
        <f t="shared" ref="H7:H13" si="1">ROUND(C7*G7,2)</f>
        <v>0</v>
      </c>
      <c r="I7" s="314">
        <f t="shared" ref="I7:I13" si="2">ROUND(F7+H7,2)</f>
        <v>67.760000000000005</v>
      </c>
      <c r="J7" s="313"/>
    </row>
    <row r="8" spans="1:10">
      <c r="A8" s="313"/>
      <c r="B8" s="313" t="s">
        <v>372</v>
      </c>
      <c r="C8" s="331">
        <v>16.37</v>
      </c>
      <c r="D8" s="315" t="s">
        <v>105</v>
      </c>
      <c r="E8" s="314">
        <v>0</v>
      </c>
      <c r="F8" s="314">
        <f t="shared" si="0"/>
        <v>0</v>
      </c>
      <c r="G8" s="314">
        <v>10</v>
      </c>
      <c r="H8" s="314">
        <f t="shared" si="1"/>
        <v>163.69999999999999</v>
      </c>
      <c r="I8" s="314">
        <f t="shared" si="2"/>
        <v>163.69999999999999</v>
      </c>
      <c r="J8" s="313"/>
    </row>
    <row r="9" spans="1:10">
      <c r="A9" s="313"/>
      <c r="B9" s="313" t="s">
        <v>373</v>
      </c>
      <c r="C9" s="331">
        <v>2</v>
      </c>
      <c r="D9" s="315" t="s">
        <v>374</v>
      </c>
      <c r="E9" s="314">
        <f>'1.ค่าวัสดุและดำเนินการ'!K43</f>
        <v>8.69</v>
      </c>
      <c r="F9" s="314">
        <f t="shared" si="0"/>
        <v>17.38</v>
      </c>
      <c r="G9" s="314">
        <v>0</v>
      </c>
      <c r="H9" s="314">
        <f t="shared" si="1"/>
        <v>0</v>
      </c>
      <c r="I9" s="314">
        <f t="shared" si="2"/>
        <v>17.38</v>
      </c>
      <c r="J9" s="313"/>
    </row>
    <row r="10" spans="1:10">
      <c r="A10" s="313"/>
      <c r="B10" s="313" t="s">
        <v>375</v>
      </c>
      <c r="C10" s="331">
        <v>1.82</v>
      </c>
      <c r="D10" s="315" t="s">
        <v>20</v>
      </c>
      <c r="E10" s="334">
        <v>51.58</v>
      </c>
      <c r="F10" s="314">
        <f t="shared" si="0"/>
        <v>93.88</v>
      </c>
      <c r="G10" s="314">
        <v>35</v>
      </c>
      <c r="H10" s="314">
        <f t="shared" si="1"/>
        <v>63.7</v>
      </c>
      <c r="I10" s="314">
        <f t="shared" si="2"/>
        <v>157.58000000000001</v>
      </c>
      <c r="J10" s="313"/>
    </row>
    <row r="11" spans="1:10">
      <c r="A11" s="318"/>
      <c r="B11" s="313" t="s">
        <v>376</v>
      </c>
      <c r="C11" s="331">
        <v>1.82</v>
      </c>
      <c r="D11" s="315" t="s">
        <v>20</v>
      </c>
      <c r="E11" s="334">
        <v>47.89</v>
      </c>
      <c r="F11" s="314">
        <f t="shared" si="0"/>
        <v>87.16</v>
      </c>
      <c r="G11" s="314">
        <v>35</v>
      </c>
      <c r="H11" s="314">
        <f t="shared" si="1"/>
        <v>63.7</v>
      </c>
      <c r="I11" s="314">
        <f t="shared" si="2"/>
        <v>150.86000000000001</v>
      </c>
      <c r="J11" s="318"/>
    </row>
    <row r="12" spans="1:10">
      <c r="A12" s="318"/>
      <c r="B12" s="313" t="s">
        <v>377</v>
      </c>
      <c r="C12" s="331">
        <v>1</v>
      </c>
      <c r="D12" s="315" t="s">
        <v>378</v>
      </c>
      <c r="E12" s="334">
        <v>500</v>
      </c>
      <c r="F12" s="314">
        <f t="shared" si="0"/>
        <v>500</v>
      </c>
      <c r="G12" s="314">
        <v>0</v>
      </c>
      <c r="H12" s="314">
        <f t="shared" si="1"/>
        <v>0</v>
      </c>
      <c r="I12" s="314">
        <f t="shared" si="2"/>
        <v>500</v>
      </c>
      <c r="J12" s="318"/>
    </row>
    <row r="13" spans="1:10">
      <c r="A13" s="319"/>
      <c r="B13" s="319" t="s">
        <v>379</v>
      </c>
      <c r="C13" s="332">
        <v>1</v>
      </c>
      <c r="D13" s="321" t="s">
        <v>378</v>
      </c>
      <c r="E13" s="335">
        <v>500</v>
      </c>
      <c r="F13" s="320">
        <f t="shared" si="0"/>
        <v>500</v>
      </c>
      <c r="G13" s="320">
        <v>0</v>
      </c>
      <c r="H13" s="314">
        <f t="shared" si="1"/>
        <v>0</v>
      </c>
      <c r="I13" s="320">
        <f t="shared" si="2"/>
        <v>500</v>
      </c>
      <c r="J13" s="319"/>
    </row>
    <row r="14" spans="1:10" ht="24" thickBot="1">
      <c r="A14" s="101"/>
      <c r="B14" s="101"/>
      <c r="C14" s="101"/>
      <c r="D14" s="80"/>
      <c r="E14" s="101"/>
      <c r="F14" s="101"/>
      <c r="G14" s="424" t="s">
        <v>380</v>
      </c>
      <c r="H14" s="424"/>
      <c r="I14" s="322">
        <f>ROUND(SUM(I5:I13),2)</f>
        <v>1836.35</v>
      </c>
      <c r="J14" s="101"/>
    </row>
    <row r="15" spans="1:10" ht="24" thickTop="1">
      <c r="A15" s="101"/>
      <c r="B15" s="101"/>
      <c r="C15" s="101"/>
      <c r="D15" s="80"/>
      <c r="E15" s="101"/>
      <c r="F15" s="101"/>
      <c r="G15" s="101"/>
      <c r="H15" s="101"/>
      <c r="I15" s="101"/>
      <c r="J15" s="101"/>
    </row>
    <row r="16" spans="1:10">
      <c r="A16" s="101"/>
      <c r="B16" s="101"/>
      <c r="C16" s="101"/>
      <c r="D16" s="80"/>
      <c r="E16" s="101"/>
      <c r="F16" s="101"/>
      <c r="G16" s="101"/>
      <c r="H16" s="101"/>
      <c r="I16" s="101"/>
      <c r="J16" s="101"/>
    </row>
    <row r="17" spans="1:10">
      <c r="A17" s="101"/>
      <c r="B17" s="101"/>
      <c r="C17" s="101"/>
      <c r="D17" s="80"/>
      <c r="E17" s="101"/>
      <c r="F17" s="101"/>
      <c r="G17" s="101"/>
      <c r="H17" s="101"/>
      <c r="I17" s="101"/>
      <c r="J17" s="101"/>
    </row>
  </sheetData>
  <mergeCells count="10">
    <mergeCell ref="G14:H14"/>
    <mergeCell ref="A1:J1"/>
    <mergeCell ref="A2:J2"/>
    <mergeCell ref="A3:A4"/>
    <mergeCell ref="B3:B4"/>
    <mergeCell ref="C3:C4"/>
    <mergeCell ref="D3:D4"/>
    <mergeCell ref="E3:F3"/>
    <mergeCell ref="G3:H3"/>
    <mergeCell ref="J3:J4"/>
  </mergeCells>
  <printOptions horizontalCentered="1"/>
  <pageMargins left="0.39370078740157483" right="0.19685039370078741" top="0.39370078740157483" bottom="0.19685039370078741" header="0" footer="0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3"/>
  <sheetViews>
    <sheetView view="pageBreakPreview" topLeftCell="A9" zoomScaleNormal="120" zoomScaleSheetLayoutView="100" workbookViewId="0">
      <selection activeCell="S30" sqref="S30"/>
    </sheetView>
  </sheetViews>
  <sheetFormatPr defaultColWidth="9" defaultRowHeight="23.4"/>
  <cols>
    <col min="1" max="1" width="5.33203125" style="63" customWidth="1"/>
    <col min="2" max="2" width="9" style="63"/>
    <col min="3" max="3" width="14.88671875" style="63" customWidth="1"/>
    <col min="4" max="4" width="8.44140625" style="63" customWidth="1"/>
    <col min="5" max="5" width="9.77734375" style="63" customWidth="1"/>
    <col min="6" max="6" width="7.88671875" style="63" customWidth="1"/>
    <col min="7" max="7" width="8.77734375" style="63" customWidth="1"/>
    <col min="8" max="8" width="4.77734375" style="63" customWidth="1"/>
    <col min="9" max="9" width="4.21875" style="63" customWidth="1"/>
    <col min="10" max="10" width="5.6640625" style="63" customWidth="1"/>
    <col min="11" max="11" width="4.88671875" style="63" customWidth="1"/>
    <col min="12" max="12" width="7.109375" style="63" customWidth="1"/>
    <col min="13" max="13" width="10.6640625" style="63" customWidth="1"/>
    <col min="14" max="14" width="15.6640625" style="63" customWidth="1"/>
    <col min="15" max="15" width="9" style="63"/>
    <col min="16" max="16" width="12.21875" style="63" bestFit="1" customWidth="1"/>
    <col min="17" max="16384" width="9" style="63"/>
  </cols>
  <sheetData>
    <row r="1" spans="1:17">
      <c r="A1" s="433" t="s">
        <v>234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</row>
    <row r="2" spans="1:17">
      <c r="A2" s="64" t="str">
        <f>'1.ค่าวัสดุและดำเนินการ'!A2</f>
        <v>ส่วนราชการ  :</v>
      </c>
    </row>
    <row r="3" spans="1:17">
      <c r="A3" s="63" t="str">
        <f>'1.ค่าวัสดุและดำเนินการ'!A3</f>
        <v xml:space="preserve">โครงการ      : </v>
      </c>
    </row>
    <row r="4" spans="1:17">
      <c r="A4" s="63" t="str">
        <f>'1.ค่าวัสดุและดำเนินการ'!A5</f>
        <v>ปริมาณงาน   :</v>
      </c>
    </row>
    <row r="5" spans="1:17">
      <c r="A5" s="63" t="str">
        <f>'1.ค่าวัสดุและดำเนินการ'!A6</f>
        <v xml:space="preserve">ที่ตั้งโครงการ : </v>
      </c>
      <c r="G5" s="63" t="s">
        <v>237</v>
      </c>
    </row>
    <row r="6" spans="1:17">
      <c r="A6" s="63" t="str">
        <f>แบบสรุปราคากลาง!A8</f>
        <v>ภาษีมูลค่าเพิ่ม     7  %</v>
      </c>
      <c r="G6" s="63" t="str">
        <f>'1.ค่าวัสดุและดำเนินการ'!F7</f>
        <v>อัตราดอกเบี้ยเงินกู้ (MLR)   7 %</v>
      </c>
    </row>
    <row r="7" spans="1:17">
      <c r="A7" s="63" t="str">
        <f>'1.ค่าวัสดุและดำเนินการ'!J7</f>
        <v>เงินประกันผลงานหัก        0 %</v>
      </c>
      <c r="G7" s="63" t="str">
        <f>'1.ค่าวัสดุและดำเนินการ'!F8</f>
        <v>เขตฝนตกปกติ   ราคาน้ำมันโซล่าเฉลี่ยที่อำเภอเมือง  32.63 (32.00-32.99) บาท/ลิตร</v>
      </c>
    </row>
    <row r="8" spans="1:17">
      <c r="A8" s="63" t="s">
        <v>235</v>
      </c>
      <c r="G8" s="63" t="s">
        <v>236</v>
      </c>
    </row>
    <row r="9" spans="1:17">
      <c r="A9" s="453" t="s">
        <v>21</v>
      </c>
      <c r="B9" s="455" t="s">
        <v>0</v>
      </c>
      <c r="C9" s="455"/>
      <c r="D9" s="455"/>
      <c r="E9" s="456"/>
      <c r="F9" s="453" t="s">
        <v>1</v>
      </c>
      <c r="G9" s="459" t="s">
        <v>22</v>
      </c>
      <c r="H9" s="451" t="s">
        <v>61</v>
      </c>
      <c r="I9" s="452"/>
      <c r="J9" s="451" t="s">
        <v>23</v>
      </c>
      <c r="K9" s="452"/>
      <c r="L9" s="440" t="s">
        <v>24</v>
      </c>
      <c r="M9" s="65" t="s">
        <v>25</v>
      </c>
      <c r="N9" s="440" t="s">
        <v>70</v>
      </c>
    </row>
    <row r="10" spans="1:17">
      <c r="A10" s="454"/>
      <c r="B10" s="457"/>
      <c r="C10" s="457"/>
      <c r="D10" s="457"/>
      <c r="E10" s="458"/>
      <c r="F10" s="454"/>
      <c r="G10" s="460"/>
      <c r="H10" s="442" t="s">
        <v>62</v>
      </c>
      <c r="I10" s="443"/>
      <c r="J10" s="442"/>
      <c r="K10" s="443"/>
      <c r="L10" s="441"/>
      <c r="M10" s="66" t="s">
        <v>26</v>
      </c>
      <c r="N10" s="441"/>
    </row>
    <row r="11" spans="1:17">
      <c r="A11" s="67">
        <v>1</v>
      </c>
      <c r="B11" s="68" t="s">
        <v>176</v>
      </c>
      <c r="C11" s="69"/>
      <c r="D11" s="70"/>
      <c r="E11" s="71"/>
      <c r="F11" s="72"/>
      <c r="G11" s="73"/>
      <c r="H11" s="74"/>
      <c r="I11" s="75"/>
      <c r="J11" s="447"/>
      <c r="K11" s="448"/>
      <c r="L11" s="76"/>
      <c r="M11" s="76"/>
      <c r="N11" s="77"/>
    </row>
    <row r="12" spans="1:17">
      <c r="A12" s="78"/>
      <c r="B12" s="79" t="s">
        <v>177</v>
      </c>
      <c r="C12" s="79"/>
      <c r="D12" s="80"/>
      <c r="E12" s="81"/>
      <c r="F12" s="78" t="s">
        <v>20</v>
      </c>
      <c r="G12" s="73"/>
      <c r="H12" s="449"/>
      <c r="I12" s="450"/>
      <c r="J12" s="449"/>
      <c r="K12" s="450"/>
      <c r="L12" s="84"/>
      <c r="M12" s="85"/>
      <c r="N12" s="76"/>
    </row>
    <row r="13" spans="1:17">
      <c r="A13" s="78"/>
      <c r="B13" s="79" t="s">
        <v>178</v>
      </c>
      <c r="C13" s="79"/>
      <c r="D13" s="80"/>
      <c r="E13" s="81"/>
      <c r="F13" s="78" t="s">
        <v>18</v>
      </c>
      <c r="G13" s="73"/>
      <c r="H13" s="449"/>
      <c r="I13" s="450"/>
      <c r="J13" s="449"/>
      <c r="K13" s="450"/>
      <c r="L13" s="84"/>
      <c r="M13" s="85"/>
      <c r="N13" s="76"/>
      <c r="Q13" s="86"/>
    </row>
    <row r="14" spans="1:17">
      <c r="A14" s="78"/>
      <c r="B14" s="79" t="s">
        <v>179</v>
      </c>
      <c r="C14" s="79"/>
      <c r="D14" s="80"/>
      <c r="E14" s="81"/>
      <c r="F14" s="78" t="s">
        <v>18</v>
      </c>
      <c r="G14" s="73"/>
      <c r="H14" s="449"/>
      <c r="I14" s="450"/>
      <c r="J14" s="449"/>
      <c r="K14" s="450"/>
      <c r="L14" s="84"/>
      <c r="M14" s="85"/>
      <c r="N14" s="76"/>
    </row>
    <row r="15" spans="1:17">
      <c r="A15" s="78">
        <v>2</v>
      </c>
      <c r="B15" s="87" t="s">
        <v>181</v>
      </c>
      <c r="C15" s="79"/>
      <c r="D15" s="80"/>
      <c r="E15" s="81"/>
      <c r="F15" s="72"/>
      <c r="G15" s="88"/>
      <c r="H15" s="85"/>
      <c r="I15" s="89"/>
      <c r="J15" s="449"/>
      <c r="K15" s="450"/>
      <c r="L15" s="84"/>
      <c r="M15" s="85"/>
      <c r="N15" s="76"/>
    </row>
    <row r="16" spans="1:17">
      <c r="A16" s="78"/>
      <c r="B16" s="79" t="s">
        <v>180</v>
      </c>
      <c r="C16" s="79"/>
      <c r="D16" s="80"/>
      <c r="E16" s="81" t="s">
        <v>233</v>
      </c>
      <c r="F16" s="78" t="s">
        <v>18</v>
      </c>
      <c r="G16" s="73"/>
      <c r="H16" s="449"/>
      <c r="I16" s="450"/>
      <c r="J16" s="449"/>
      <c r="K16" s="450"/>
      <c r="L16" s="84"/>
      <c r="M16" s="85"/>
      <c r="N16" s="76"/>
    </row>
    <row r="17" spans="1:16">
      <c r="A17" s="78">
        <v>3</v>
      </c>
      <c r="B17" s="87" t="s">
        <v>182</v>
      </c>
      <c r="C17" s="79"/>
      <c r="D17" s="80"/>
      <c r="E17" s="81"/>
      <c r="F17" s="72"/>
      <c r="G17" s="88"/>
      <c r="H17" s="82"/>
      <c r="I17" s="83"/>
      <c r="J17" s="82"/>
      <c r="K17" s="83"/>
      <c r="L17" s="84"/>
      <c r="M17" s="85"/>
      <c r="N17" s="76"/>
    </row>
    <row r="18" spans="1:16">
      <c r="A18" s="78"/>
      <c r="B18" s="79" t="s">
        <v>183</v>
      </c>
      <c r="C18" s="79"/>
      <c r="D18" s="80"/>
      <c r="E18" s="81"/>
      <c r="F18" s="78" t="s">
        <v>20</v>
      </c>
      <c r="G18" s="73"/>
      <c r="H18" s="449"/>
      <c r="I18" s="450"/>
      <c r="J18" s="449"/>
      <c r="K18" s="450"/>
      <c r="L18" s="84"/>
      <c r="M18" s="85"/>
      <c r="N18" s="76"/>
    </row>
    <row r="19" spans="1:16">
      <c r="A19" s="78"/>
      <c r="B19" s="79" t="s">
        <v>184</v>
      </c>
      <c r="C19" s="79"/>
      <c r="D19" s="80"/>
      <c r="E19" s="81"/>
      <c r="F19" s="78" t="s">
        <v>31</v>
      </c>
      <c r="G19" s="73"/>
      <c r="H19" s="449"/>
      <c r="I19" s="450"/>
      <c r="J19" s="449"/>
      <c r="K19" s="450"/>
      <c r="L19" s="84"/>
      <c r="M19" s="85"/>
      <c r="N19" s="76"/>
    </row>
    <row r="20" spans="1:16">
      <c r="A20" s="78"/>
      <c r="B20" s="79" t="s">
        <v>185</v>
      </c>
      <c r="C20" s="79"/>
      <c r="D20" s="80"/>
      <c r="E20" s="81"/>
      <c r="F20" s="78" t="s">
        <v>31</v>
      </c>
      <c r="G20" s="73"/>
      <c r="H20" s="449"/>
      <c r="I20" s="450"/>
      <c r="J20" s="449"/>
      <c r="K20" s="450"/>
      <c r="L20" s="84"/>
      <c r="M20" s="85"/>
      <c r="N20" s="76"/>
    </row>
    <row r="21" spans="1:16">
      <c r="A21" s="78"/>
      <c r="B21" s="79" t="s">
        <v>186</v>
      </c>
      <c r="C21" s="79"/>
      <c r="D21" s="80"/>
      <c r="E21" s="81"/>
      <c r="F21" s="78" t="s">
        <v>31</v>
      </c>
      <c r="G21" s="73"/>
      <c r="H21" s="449"/>
      <c r="I21" s="450"/>
      <c r="J21" s="449"/>
      <c r="K21" s="450"/>
      <c r="L21" s="84"/>
      <c r="M21" s="85"/>
      <c r="N21" s="76"/>
    </row>
    <row r="22" spans="1:16">
      <c r="A22" s="78">
        <v>4</v>
      </c>
      <c r="B22" s="87" t="s">
        <v>187</v>
      </c>
      <c r="C22" s="79"/>
      <c r="D22" s="80"/>
      <c r="E22" s="81"/>
      <c r="F22" s="72"/>
      <c r="G22" s="88"/>
      <c r="H22" s="82"/>
      <c r="I22" s="83"/>
      <c r="J22" s="82"/>
      <c r="K22" s="83"/>
      <c r="L22" s="84"/>
      <c r="M22" s="85"/>
      <c r="N22" s="76"/>
    </row>
    <row r="23" spans="1:16">
      <c r="A23" s="78"/>
      <c r="B23" s="79" t="s">
        <v>188</v>
      </c>
      <c r="C23" s="79"/>
      <c r="D23" s="80"/>
      <c r="E23" s="81"/>
      <c r="F23" s="78" t="s">
        <v>18</v>
      </c>
      <c r="G23" s="73"/>
      <c r="H23" s="449"/>
      <c r="I23" s="450"/>
      <c r="J23" s="449"/>
      <c r="K23" s="450"/>
      <c r="L23" s="84"/>
      <c r="M23" s="85"/>
      <c r="N23" s="76"/>
      <c r="P23" s="90"/>
    </row>
    <row r="24" spans="1:16">
      <c r="A24" s="91"/>
      <c r="B24" s="92"/>
      <c r="C24" s="92"/>
      <c r="D24" s="93"/>
      <c r="E24" s="94"/>
      <c r="F24" s="95"/>
      <c r="G24" s="96"/>
      <c r="H24" s="97"/>
      <c r="I24" s="98"/>
      <c r="J24" s="97"/>
      <c r="K24" s="98"/>
      <c r="L24" s="99"/>
      <c r="M24" s="100"/>
      <c r="N24" s="76"/>
    </row>
    <row r="25" spans="1:16">
      <c r="A25" s="101"/>
      <c r="B25" s="101"/>
      <c r="C25" s="102"/>
      <c r="D25" s="103"/>
      <c r="E25" s="103"/>
      <c r="F25" s="101"/>
      <c r="G25" s="104"/>
      <c r="H25" s="104"/>
      <c r="I25" s="101"/>
      <c r="J25" s="101"/>
      <c r="K25" s="105"/>
      <c r="L25" s="101"/>
      <c r="M25" s="102" t="s">
        <v>225</v>
      </c>
      <c r="N25" s="106"/>
    </row>
    <row r="26" spans="1:16">
      <c r="A26" s="453" t="s">
        <v>21</v>
      </c>
      <c r="B26" s="455" t="s">
        <v>0</v>
      </c>
      <c r="C26" s="455"/>
      <c r="D26" s="455"/>
      <c r="E26" s="456"/>
      <c r="F26" s="453" t="s">
        <v>1</v>
      </c>
      <c r="G26" s="459" t="s">
        <v>22</v>
      </c>
      <c r="H26" s="451" t="s">
        <v>61</v>
      </c>
      <c r="I26" s="452"/>
      <c r="J26" s="451" t="s">
        <v>23</v>
      </c>
      <c r="K26" s="452"/>
      <c r="L26" s="440" t="s">
        <v>24</v>
      </c>
      <c r="M26" s="65" t="s">
        <v>25</v>
      </c>
      <c r="N26" s="440" t="s">
        <v>70</v>
      </c>
    </row>
    <row r="27" spans="1:16">
      <c r="A27" s="454"/>
      <c r="B27" s="457"/>
      <c r="C27" s="457"/>
      <c r="D27" s="457"/>
      <c r="E27" s="458"/>
      <c r="F27" s="454"/>
      <c r="G27" s="460"/>
      <c r="H27" s="442" t="s">
        <v>62</v>
      </c>
      <c r="I27" s="443"/>
      <c r="J27" s="442"/>
      <c r="K27" s="443"/>
      <c r="L27" s="441"/>
      <c r="M27" s="66" t="s">
        <v>26</v>
      </c>
      <c r="N27" s="441"/>
    </row>
    <row r="28" spans="1:16">
      <c r="A28" s="67"/>
      <c r="B28" s="444" t="s">
        <v>226</v>
      </c>
      <c r="C28" s="445"/>
      <c r="D28" s="445"/>
      <c r="E28" s="446"/>
      <c r="F28" s="72"/>
      <c r="G28" s="73"/>
      <c r="H28" s="74"/>
      <c r="I28" s="75"/>
      <c r="J28" s="447"/>
      <c r="K28" s="448"/>
      <c r="L28" s="76"/>
      <c r="M28" s="76"/>
      <c r="N28" s="107"/>
    </row>
    <row r="29" spans="1:16">
      <c r="A29" s="78">
        <v>5</v>
      </c>
      <c r="B29" s="87" t="s">
        <v>219</v>
      </c>
      <c r="C29" s="79"/>
      <c r="D29" s="80"/>
      <c r="E29" s="81"/>
      <c r="F29" s="72"/>
      <c r="G29" s="88"/>
      <c r="H29" s="82"/>
      <c r="I29" s="83"/>
      <c r="J29" s="82"/>
      <c r="K29" s="83"/>
      <c r="L29" s="84"/>
      <c r="M29" s="85"/>
      <c r="N29" s="76"/>
    </row>
    <row r="30" spans="1:16">
      <c r="A30" s="78"/>
      <c r="B30" s="79" t="s">
        <v>218</v>
      </c>
      <c r="C30" s="79"/>
      <c r="D30" s="80"/>
      <c r="E30" s="81"/>
      <c r="F30" s="78" t="s">
        <v>31</v>
      </c>
      <c r="G30" s="73"/>
      <c r="H30" s="449"/>
      <c r="I30" s="450"/>
      <c r="J30" s="449"/>
      <c r="K30" s="450"/>
      <c r="L30" s="84"/>
      <c r="M30" s="85"/>
      <c r="N30" s="76"/>
    </row>
    <row r="31" spans="1:16">
      <c r="A31" s="78"/>
      <c r="B31" s="79" t="s">
        <v>220</v>
      </c>
      <c r="C31" s="79"/>
      <c r="D31" s="80"/>
      <c r="E31" s="81"/>
      <c r="F31" s="78" t="s">
        <v>217</v>
      </c>
      <c r="G31" s="73"/>
      <c r="H31" s="449"/>
      <c r="I31" s="450"/>
      <c r="J31" s="449"/>
      <c r="K31" s="450"/>
      <c r="L31" s="84"/>
      <c r="M31" s="85"/>
      <c r="N31" s="76"/>
    </row>
    <row r="32" spans="1:16">
      <c r="A32" s="78">
        <v>6</v>
      </c>
      <c r="B32" s="87" t="s">
        <v>221</v>
      </c>
      <c r="C32" s="79"/>
      <c r="D32" s="80"/>
      <c r="E32" s="81"/>
      <c r="F32" s="72"/>
      <c r="G32" s="88"/>
      <c r="H32" s="82"/>
      <c r="I32" s="83"/>
      <c r="J32" s="82"/>
      <c r="K32" s="83"/>
      <c r="L32" s="84"/>
      <c r="M32" s="85"/>
      <c r="N32" s="76"/>
    </row>
    <row r="33" spans="1:16">
      <c r="A33" s="78"/>
      <c r="B33" s="79" t="s">
        <v>222</v>
      </c>
      <c r="C33" s="79"/>
      <c r="D33" s="80"/>
      <c r="E33" s="81"/>
      <c r="F33" s="78" t="s">
        <v>161</v>
      </c>
      <c r="G33" s="73"/>
      <c r="H33" s="449"/>
      <c r="I33" s="450"/>
      <c r="J33" s="449"/>
      <c r="K33" s="450"/>
      <c r="L33" s="84"/>
      <c r="M33" s="85"/>
      <c r="N33" s="76"/>
    </row>
    <row r="34" spans="1:16">
      <c r="A34" s="91">
        <v>7</v>
      </c>
      <c r="B34" s="92" t="s">
        <v>69</v>
      </c>
      <c r="C34" s="92"/>
      <c r="D34" s="93"/>
      <c r="E34" s="94"/>
      <c r="F34" s="95"/>
      <c r="G34" s="96"/>
      <c r="H34" s="97"/>
      <c r="I34" s="98"/>
      <c r="J34" s="97"/>
      <c r="K34" s="98"/>
      <c r="L34" s="99"/>
      <c r="M34" s="100"/>
      <c r="N34" s="76"/>
    </row>
    <row r="35" spans="1:16">
      <c r="A35" s="101"/>
      <c r="B35" s="101"/>
      <c r="C35" s="102"/>
      <c r="D35" s="103"/>
      <c r="E35" s="103"/>
      <c r="F35" s="101"/>
      <c r="G35" s="104"/>
      <c r="H35" s="104"/>
      <c r="I35" s="101"/>
      <c r="J35" s="101"/>
      <c r="K35" s="105"/>
      <c r="L35" s="101"/>
      <c r="M35" s="102" t="s">
        <v>189</v>
      </c>
      <c r="N35" s="106"/>
    </row>
    <row r="36" spans="1:16" ht="24" thickBot="1">
      <c r="A36" s="101"/>
      <c r="B36" s="101"/>
      <c r="C36" s="102"/>
      <c r="D36" s="103"/>
      <c r="E36" s="103"/>
      <c r="F36" s="101"/>
      <c r="G36" s="104"/>
      <c r="H36" s="104"/>
      <c r="I36" s="101"/>
      <c r="J36" s="101"/>
      <c r="K36" s="105"/>
      <c r="L36" s="101"/>
      <c r="M36" s="102" t="s">
        <v>227</v>
      </c>
      <c r="N36" s="108"/>
    </row>
    <row r="37" spans="1:16" ht="24.6" thickTop="1" thickBot="1">
      <c r="A37" s="101"/>
      <c r="B37" s="103" t="s">
        <v>27</v>
      </c>
      <c r="C37" s="102"/>
      <c r="D37" s="103"/>
      <c r="E37" s="103"/>
      <c r="H37" s="104"/>
      <c r="I37" s="101"/>
      <c r="J37" s="437"/>
      <c r="K37" s="438"/>
      <c r="L37" s="439"/>
      <c r="M37" s="110"/>
      <c r="N37" s="111"/>
      <c r="P37" s="112">
        <f>J37*J40</f>
        <v>0</v>
      </c>
    </row>
    <row r="38" spans="1:16" ht="24" thickBot="1">
      <c r="A38" s="101"/>
      <c r="B38" s="103" t="s">
        <v>28</v>
      </c>
      <c r="C38" s="102"/>
      <c r="D38" s="103"/>
      <c r="E38" s="103"/>
      <c r="H38" s="104"/>
      <c r="I38" s="101"/>
      <c r="J38" s="437"/>
      <c r="K38" s="438"/>
      <c r="L38" s="439"/>
      <c r="M38" s="110"/>
      <c r="N38" s="111"/>
    </row>
    <row r="39" spans="1:16" ht="24" thickBot="1">
      <c r="A39" s="101"/>
      <c r="B39" s="103"/>
      <c r="C39" s="102"/>
      <c r="D39" s="103"/>
      <c r="E39" s="103"/>
      <c r="H39" s="104"/>
      <c r="I39" s="101"/>
      <c r="J39" s="109"/>
      <c r="K39" s="109"/>
      <c r="L39" s="109"/>
      <c r="M39" s="110"/>
      <c r="N39" s="111"/>
    </row>
    <row r="40" spans="1:16" ht="24" thickBot="1">
      <c r="A40" s="101"/>
      <c r="B40" s="103" t="s">
        <v>29</v>
      </c>
      <c r="C40" s="102"/>
      <c r="D40" s="103"/>
      <c r="E40" s="103"/>
      <c r="H40" s="104"/>
      <c r="I40" s="101"/>
      <c r="J40" s="434"/>
      <c r="K40" s="435"/>
      <c r="L40" s="436"/>
      <c r="M40" s="110"/>
      <c r="N40" s="111"/>
    </row>
    <row r="41" spans="1:16" ht="24" thickBot="1">
      <c r="A41" s="101"/>
      <c r="B41" s="103" t="s">
        <v>30</v>
      </c>
      <c r="C41" s="102"/>
      <c r="D41" s="103"/>
      <c r="E41" s="103"/>
      <c r="H41" s="104"/>
      <c r="I41" s="101"/>
      <c r="J41" s="434"/>
      <c r="K41" s="435"/>
      <c r="L41" s="436"/>
      <c r="M41" s="110"/>
      <c r="N41" s="111"/>
    </row>
    <row r="42" spans="1:16">
      <c r="A42" s="101"/>
      <c r="B42" s="103"/>
      <c r="C42" s="102"/>
      <c r="D42" s="103"/>
      <c r="E42" s="103"/>
      <c r="H42" s="104"/>
      <c r="I42" s="101"/>
      <c r="J42" s="113"/>
      <c r="K42" s="113"/>
      <c r="L42" s="113"/>
      <c r="M42" s="110"/>
      <c r="N42" s="111"/>
    </row>
    <row r="44" spans="1:16">
      <c r="E44" s="432"/>
      <c r="F44" s="432"/>
      <c r="G44" s="432"/>
      <c r="H44" s="432"/>
      <c r="I44" s="432"/>
    </row>
    <row r="45" spans="1:16">
      <c r="E45" s="432"/>
      <c r="F45" s="432"/>
      <c r="G45" s="432"/>
      <c r="H45" s="432"/>
      <c r="I45" s="432"/>
    </row>
    <row r="47" spans="1:16">
      <c r="H47" s="63" t="s">
        <v>240</v>
      </c>
    </row>
    <row r="48" spans="1:16">
      <c r="B48" s="432"/>
      <c r="C48" s="433"/>
      <c r="D48" s="433"/>
      <c r="I48" s="432" t="s">
        <v>238</v>
      </c>
      <c r="J48" s="432"/>
      <c r="K48" s="432"/>
      <c r="L48" s="432"/>
    </row>
    <row r="49" spans="2:12">
      <c r="B49" s="432"/>
      <c r="C49" s="433"/>
      <c r="D49" s="433"/>
      <c r="I49" s="432" t="s">
        <v>239</v>
      </c>
      <c r="J49" s="432"/>
      <c r="K49" s="432"/>
      <c r="L49" s="432"/>
    </row>
    <row r="50" spans="2:12">
      <c r="B50" s="114"/>
      <c r="C50" s="62"/>
      <c r="D50" s="62"/>
      <c r="I50" s="114"/>
      <c r="J50" s="114"/>
      <c r="K50" s="114"/>
      <c r="L50" s="114"/>
    </row>
    <row r="52" spans="2:12">
      <c r="B52" s="114"/>
      <c r="C52" s="62"/>
      <c r="D52" s="62"/>
      <c r="I52" s="114"/>
      <c r="J52" s="114"/>
      <c r="K52" s="114"/>
      <c r="L52" s="114"/>
    </row>
    <row r="53" spans="2:12">
      <c r="B53" s="114"/>
      <c r="C53" s="62"/>
      <c r="D53" s="62"/>
      <c r="I53" s="114"/>
      <c r="J53" s="114"/>
      <c r="K53" s="114"/>
      <c r="L53" s="114"/>
    </row>
  </sheetData>
  <mergeCells count="57">
    <mergeCell ref="A1:N1"/>
    <mergeCell ref="A9:A10"/>
    <mergeCell ref="B9:E10"/>
    <mergeCell ref="F9:F10"/>
    <mergeCell ref="G9:G10"/>
    <mergeCell ref="H9:I9"/>
    <mergeCell ref="J9:K10"/>
    <mergeCell ref="L9:L10"/>
    <mergeCell ref="N9:N10"/>
    <mergeCell ref="H10:I10"/>
    <mergeCell ref="H19:I19"/>
    <mergeCell ref="J19:K19"/>
    <mergeCell ref="J11:K11"/>
    <mergeCell ref="H12:I12"/>
    <mergeCell ref="J12:K12"/>
    <mergeCell ref="H13:I13"/>
    <mergeCell ref="J13:K13"/>
    <mergeCell ref="H14:I14"/>
    <mergeCell ref="J14:K14"/>
    <mergeCell ref="J15:K15"/>
    <mergeCell ref="H16:I16"/>
    <mergeCell ref="J16:K16"/>
    <mergeCell ref="H18:I18"/>
    <mergeCell ref="J18:K18"/>
    <mergeCell ref="H20:I20"/>
    <mergeCell ref="J20:K20"/>
    <mergeCell ref="H21:I21"/>
    <mergeCell ref="J21:K21"/>
    <mergeCell ref="H23:I23"/>
    <mergeCell ref="J23:K23"/>
    <mergeCell ref="A26:A27"/>
    <mergeCell ref="B26:E27"/>
    <mergeCell ref="F26:F27"/>
    <mergeCell ref="G26:G27"/>
    <mergeCell ref="H26:I26"/>
    <mergeCell ref="J38:L38"/>
    <mergeCell ref="L26:L27"/>
    <mergeCell ref="N26:N27"/>
    <mergeCell ref="H27:I27"/>
    <mergeCell ref="B28:E28"/>
    <mergeCell ref="J28:K28"/>
    <mergeCell ref="H30:I30"/>
    <mergeCell ref="J30:K30"/>
    <mergeCell ref="J26:K27"/>
    <mergeCell ref="H31:I31"/>
    <mergeCell ref="J31:K31"/>
    <mergeCell ref="H33:I33"/>
    <mergeCell ref="J33:K33"/>
    <mergeCell ref="J37:L37"/>
    <mergeCell ref="B49:D49"/>
    <mergeCell ref="I49:L49"/>
    <mergeCell ref="J40:L40"/>
    <mergeCell ref="J41:L41"/>
    <mergeCell ref="E44:I44"/>
    <mergeCell ref="E45:I45"/>
    <mergeCell ref="B48:D48"/>
    <mergeCell ref="I48:L48"/>
  </mergeCells>
  <pageMargins left="0.39370078740157483" right="0" top="0.59055118110236227" bottom="0" header="0.31496062992125984" footer="0.31496062992125984"/>
  <pageSetup paperSize="9" scale="78" orientation="portrait" horizontalDpi="300" verticalDpi="300" r:id="rId1"/>
  <headerFooter>
    <oddHeader>&amp;Rหน้าที่ &amp;P / &amp;N</oddHeader>
  </headerFooter>
  <rowBreaks count="1" manualBreakCount="1">
    <brk id="25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79"/>
  <sheetViews>
    <sheetView tabSelected="1" view="pageBreakPreview" zoomScaleNormal="100" zoomScaleSheetLayoutView="100" workbookViewId="0">
      <selection activeCell="R50" sqref="R50"/>
    </sheetView>
  </sheetViews>
  <sheetFormatPr defaultColWidth="9" defaultRowHeight="24.6"/>
  <cols>
    <col min="1" max="1" width="5.77734375" style="250" customWidth="1"/>
    <col min="2" max="2" width="9" style="250"/>
    <col min="3" max="3" width="14.5546875" style="250" customWidth="1"/>
    <col min="4" max="4" width="8" style="250" customWidth="1"/>
    <col min="5" max="5" width="2.33203125" style="250" customWidth="1"/>
    <col min="6" max="6" width="5.6640625" style="250" customWidth="1"/>
    <col min="7" max="7" width="10.21875" style="250" customWidth="1"/>
    <col min="8" max="8" width="4.77734375" style="250" customWidth="1"/>
    <col min="9" max="9" width="5.5546875" style="250" customWidth="1"/>
    <col min="10" max="10" width="7.5546875" style="250" customWidth="1"/>
    <col min="11" max="11" width="4.77734375" style="250" customWidth="1"/>
    <col min="12" max="12" width="8.33203125" style="250" customWidth="1"/>
    <col min="13" max="13" width="13.109375" style="250" customWidth="1"/>
    <col min="14" max="14" width="13" style="250" customWidth="1"/>
    <col min="15" max="15" width="10.88671875" style="250" bestFit="1" customWidth="1"/>
    <col min="16" max="16" width="12.21875" style="250" bestFit="1" customWidth="1"/>
    <col min="17" max="16384" width="9" style="250"/>
  </cols>
  <sheetData>
    <row r="1" spans="1:18">
      <c r="A1" s="349" t="s">
        <v>309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8">
      <c r="A2" s="251" t="str">
        <f>'1.ค่าวัสดุและดำเนินการ'!A2</f>
        <v>ส่วนราชการ  :</v>
      </c>
      <c r="C2" s="251" t="str">
        <f>'1.ค่าวัสดุและดำเนินการ'!C2</f>
        <v>กองช่าง  องค์การบริหารส่วนตำบลป่ากลาง  อำเภอปัว  จังหวัดน่าน</v>
      </c>
    </row>
    <row r="3" spans="1:18">
      <c r="A3" s="250" t="str">
        <f>'1.ค่าวัสดุและดำเนินการ'!A3</f>
        <v xml:space="preserve">โครงการ      : </v>
      </c>
      <c r="C3" s="250" t="str">
        <f>'1.ค่าวัสดุและดำเนินการ'!C3</f>
        <v>ปรับปรุงผิวจราจรลูกรังเป็นคอนกรีตเสริมเหล็กบ้านชัยยุทธ-บ้านนางปราณี  บ้านค้างฮ่อ  หมู่ที่ 3</v>
      </c>
    </row>
    <row r="4" spans="1:18">
      <c r="A4" s="250" t="str">
        <f>'1.ค่าวัสดุและดำเนินการ'!A4</f>
        <v xml:space="preserve">แบบก่อสร้าง : </v>
      </c>
      <c r="C4" s="250" t="str">
        <f>'1.ค่าวัสดุและดำเนินการ'!C4</f>
        <v>แบบอบต.ป่ากลาง เลขที่  18/2568  จำนวน  5   แผ่น</v>
      </c>
    </row>
    <row r="5" spans="1:18" ht="52.2" customHeight="1">
      <c r="A5" s="252" t="str">
        <f>'1.ค่าวัสดุและดำเนินการ'!A5</f>
        <v>ปริมาณงาน   :</v>
      </c>
      <c r="C5" s="351" t="str">
        <f>'1.ค่าวัสดุและดำเนินการ'!C5</f>
        <v>เทผิวจราจรคอนกรีตเสริมเหล็กขนาดกว้าง 5.00 เมตร  ยาว 148.00 เมตร  หนา 0.15 เมตร หรือมีพื้นที่ดำเนินการไม่น้อยกว่า 740.00 ตารางเมตร  พร้อมไหล่ทางกว้างเฉลี่ย 0.50 เมตร  ตามแบบ อบต.ป่ากลาง</v>
      </c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8">
      <c r="A6" s="250" t="str">
        <f>'1.ค่าวัสดุและดำเนินการ'!A6</f>
        <v xml:space="preserve">ที่ตั้งโครงการ : </v>
      </c>
      <c r="C6" s="250" t="str">
        <f>'1.ค่าวัสดุและดำเนินการ'!C6</f>
        <v>บ้านค้างฮ่อ หมู่ที่ 3   ตำบลป่ากลาง  อำเภอปัว  จังหวัดน่าน</v>
      </c>
    </row>
    <row r="7" spans="1:18">
      <c r="A7" s="250" t="str">
        <f>'1.ค่าวัสดุและดำเนินการ'!A7</f>
        <v>เงินล่วงหน้าจ่าย   0  %</v>
      </c>
      <c r="F7" s="250" t="str">
        <f>'1.ค่าวัสดุและดำเนินการ'!F7</f>
        <v>อัตราดอกเบี้ยเงินกู้ (MLR)   7 %</v>
      </c>
      <c r="L7" s="250" t="str">
        <f>'1.ค่าวัสดุและดำเนินการ'!J7</f>
        <v>เงินประกันผลงานหัก        0 %</v>
      </c>
      <c r="O7" s="253" t="s">
        <v>317</v>
      </c>
      <c r="P7" s="250">
        <v>5</v>
      </c>
      <c r="Q7" s="250">
        <v>0.5</v>
      </c>
      <c r="R7" s="250">
        <v>0.3</v>
      </c>
    </row>
    <row r="8" spans="1:18">
      <c r="A8" s="250" t="str">
        <f>'1.ค่าวัสดุและดำเนินการ'!A8</f>
        <v>ภาษีมูลค่าเพิ่ม     7  %</v>
      </c>
      <c r="F8" s="250" t="str">
        <f>'1.ค่าวัสดุและดำเนินการ'!F8</f>
        <v>เขตฝนตกปกติ   ราคาน้ำมันโซล่าเฉลี่ยที่อำเภอเมือง  32.63 (32.00-32.99) บาท/ลิตร</v>
      </c>
      <c r="O8" s="253" t="s">
        <v>318</v>
      </c>
      <c r="P8" s="250">
        <v>100</v>
      </c>
      <c r="R8" s="250">
        <v>0.2</v>
      </c>
    </row>
    <row r="9" spans="1:18">
      <c r="A9" s="303" t="s">
        <v>412</v>
      </c>
      <c r="F9" s="250" t="s">
        <v>393</v>
      </c>
      <c r="O9" s="253" t="s">
        <v>319</v>
      </c>
      <c r="P9" s="250">
        <f>P7*P8</f>
        <v>500</v>
      </c>
      <c r="Q9" s="253" t="s">
        <v>320</v>
      </c>
      <c r="R9" s="250">
        <v>0</v>
      </c>
    </row>
    <row r="10" spans="1:18">
      <c r="A10" s="355" t="s">
        <v>21</v>
      </c>
      <c r="B10" s="357" t="s">
        <v>0</v>
      </c>
      <c r="C10" s="357"/>
      <c r="D10" s="357"/>
      <c r="E10" s="358"/>
      <c r="F10" s="355" t="s">
        <v>1</v>
      </c>
      <c r="G10" s="361" t="s">
        <v>22</v>
      </c>
      <c r="H10" s="363" t="s">
        <v>61</v>
      </c>
      <c r="I10" s="364"/>
      <c r="J10" s="363" t="s">
        <v>23</v>
      </c>
      <c r="K10" s="364"/>
      <c r="L10" s="367" t="s">
        <v>24</v>
      </c>
      <c r="M10" s="254" t="s">
        <v>25</v>
      </c>
      <c r="N10" s="367" t="s">
        <v>70</v>
      </c>
    </row>
    <row r="11" spans="1:18">
      <c r="A11" s="356"/>
      <c r="B11" s="359"/>
      <c r="C11" s="359"/>
      <c r="D11" s="359"/>
      <c r="E11" s="360"/>
      <c r="F11" s="356"/>
      <c r="G11" s="362"/>
      <c r="H11" s="365" t="s">
        <v>62</v>
      </c>
      <c r="I11" s="366"/>
      <c r="J11" s="365"/>
      <c r="K11" s="366"/>
      <c r="L11" s="368"/>
      <c r="M11" s="255" t="s">
        <v>26</v>
      </c>
      <c r="N11" s="368"/>
    </row>
    <row r="12" spans="1:18">
      <c r="A12" s="256">
        <v>1</v>
      </c>
      <c r="B12" s="257" t="s">
        <v>253</v>
      </c>
      <c r="C12" s="258"/>
      <c r="D12" s="258"/>
      <c r="E12" s="259"/>
      <c r="F12" s="260"/>
      <c r="G12" s="261"/>
      <c r="H12" s="341"/>
      <c r="I12" s="342"/>
      <c r="J12" s="341"/>
      <c r="K12" s="342"/>
      <c r="L12" s="262"/>
      <c r="M12" s="263"/>
      <c r="N12" s="264"/>
    </row>
    <row r="13" spans="1:18">
      <c r="A13" s="265"/>
      <c r="B13" s="266" t="s">
        <v>399</v>
      </c>
      <c r="C13" s="266"/>
      <c r="D13" s="267"/>
      <c r="E13" s="268"/>
      <c r="F13" s="260" t="s">
        <v>20</v>
      </c>
      <c r="G13" s="261">
        <v>0</v>
      </c>
      <c r="H13" s="341">
        <f>'2.ราคาต่อหน่วยผิวทาง'!P3</f>
        <v>0</v>
      </c>
      <c r="I13" s="342"/>
      <c r="J13" s="341">
        <f>ROUND(H13*G13,2)</f>
        <v>0</v>
      </c>
      <c r="K13" s="342"/>
      <c r="L13" s="262">
        <v>0</v>
      </c>
      <c r="M13" s="263">
        <f>ROUNDDOWN(H13*L13,2)</f>
        <v>0</v>
      </c>
      <c r="N13" s="264">
        <f>ROUND(J13*L13,2)</f>
        <v>0</v>
      </c>
    </row>
    <row r="14" spans="1:18">
      <c r="A14" s="265">
        <v>2</v>
      </c>
      <c r="B14" s="269" t="s">
        <v>176</v>
      </c>
      <c r="C14" s="266"/>
      <c r="D14" s="270"/>
      <c r="E14" s="268"/>
      <c r="F14" s="271"/>
      <c r="G14" s="261"/>
      <c r="H14" s="263"/>
      <c r="I14" s="272"/>
      <c r="J14" s="341"/>
      <c r="K14" s="342"/>
      <c r="L14" s="264"/>
      <c r="M14" s="264"/>
      <c r="N14" s="264"/>
    </row>
    <row r="15" spans="1:18">
      <c r="A15" s="265"/>
      <c r="B15" s="266" t="s">
        <v>398</v>
      </c>
      <c r="C15" s="266"/>
      <c r="D15" s="267"/>
      <c r="E15" s="268"/>
      <c r="F15" s="260" t="s">
        <v>20</v>
      </c>
      <c r="G15" s="261">
        <v>740</v>
      </c>
      <c r="H15" s="353">
        <v>11.14</v>
      </c>
      <c r="I15" s="354"/>
      <c r="J15" s="341">
        <f>ROUND(H15*G15,2)</f>
        <v>8243.6</v>
      </c>
      <c r="K15" s="342"/>
      <c r="L15" s="262">
        <f>$J$41</f>
        <v>1.3642000000000001</v>
      </c>
      <c r="M15" s="263">
        <f>ROUNDDOWN(H15*L15,2)</f>
        <v>15.19</v>
      </c>
      <c r="N15" s="264">
        <f>ROUND(J15*L15,2)</f>
        <v>11245.92</v>
      </c>
    </row>
    <row r="16" spans="1:18">
      <c r="A16" s="265"/>
      <c r="B16" s="266" t="s">
        <v>397</v>
      </c>
      <c r="C16" s="266"/>
      <c r="D16" s="267"/>
      <c r="E16" s="268"/>
      <c r="F16" s="260" t="s">
        <v>18</v>
      </c>
      <c r="G16" s="261">
        <v>0</v>
      </c>
      <c r="H16" s="341">
        <f>'2.ราคาต่อหน่วยผิวทาง'!P21</f>
        <v>0</v>
      </c>
      <c r="I16" s="342"/>
      <c r="J16" s="341">
        <f>ROUND(H16*G16,2)</f>
        <v>0</v>
      </c>
      <c r="K16" s="342"/>
      <c r="L16" s="262">
        <v>0</v>
      </c>
      <c r="M16" s="263">
        <f>ROUND(H16*L16,2)</f>
        <v>0</v>
      </c>
      <c r="N16" s="264">
        <f>ROUND(J16*L16,2)</f>
        <v>0</v>
      </c>
      <c r="Q16" s="273"/>
    </row>
    <row r="17" spans="1:15">
      <c r="A17" s="265"/>
      <c r="B17" s="266" t="s">
        <v>396</v>
      </c>
      <c r="C17" s="266"/>
      <c r="D17" s="267"/>
      <c r="E17" s="268"/>
      <c r="F17" s="260" t="s">
        <v>18</v>
      </c>
      <c r="G17" s="261">
        <v>0</v>
      </c>
      <c r="H17" s="341">
        <v>0</v>
      </c>
      <c r="I17" s="342"/>
      <c r="J17" s="341">
        <f>ROUND(H17*G17,2)</f>
        <v>0</v>
      </c>
      <c r="K17" s="342"/>
      <c r="L17" s="262">
        <v>0</v>
      </c>
      <c r="M17" s="263">
        <f>ROUND(H17*L17,2)</f>
        <v>0</v>
      </c>
      <c r="N17" s="264">
        <f>ROUND(J17*L17,2)</f>
        <v>0</v>
      </c>
    </row>
    <row r="18" spans="1:15">
      <c r="A18" s="265">
        <v>3</v>
      </c>
      <c r="B18" s="269" t="s">
        <v>181</v>
      </c>
      <c r="C18" s="266"/>
      <c r="D18" s="267"/>
      <c r="E18" s="268"/>
      <c r="F18" s="271"/>
      <c r="G18" s="274"/>
      <c r="H18" s="263"/>
      <c r="I18" s="272"/>
      <c r="J18" s="341"/>
      <c r="K18" s="342"/>
      <c r="L18" s="262"/>
      <c r="M18" s="263"/>
      <c r="N18" s="264"/>
    </row>
    <row r="19" spans="1:15">
      <c r="A19" s="265"/>
      <c r="B19" s="266" t="s">
        <v>395</v>
      </c>
      <c r="C19" s="266"/>
      <c r="D19" s="267"/>
      <c r="E19" s="268" t="s">
        <v>233</v>
      </c>
      <c r="F19" s="260" t="s">
        <v>18</v>
      </c>
      <c r="G19" s="261">
        <f>G15*0.05</f>
        <v>37</v>
      </c>
      <c r="H19" s="341">
        <f>'2.ราคาต่อหน่วยผิวทาง'!P12</f>
        <v>678</v>
      </c>
      <c r="I19" s="342"/>
      <c r="J19" s="341">
        <f>ROUND(H19*G19,2)</f>
        <v>25086</v>
      </c>
      <c r="K19" s="342"/>
      <c r="L19" s="262">
        <f>$J$41</f>
        <v>1.3642000000000001</v>
      </c>
      <c r="M19" s="263">
        <f>ROUND(H19*L19,2)</f>
        <v>924.93</v>
      </c>
      <c r="N19" s="264">
        <f>ROUND(J19*L19,2)</f>
        <v>34222.32</v>
      </c>
    </row>
    <row r="20" spans="1:15">
      <c r="A20" s="265">
        <v>4</v>
      </c>
      <c r="B20" s="269" t="s">
        <v>182</v>
      </c>
      <c r="C20" s="266"/>
      <c r="D20" s="267"/>
      <c r="E20" s="268"/>
      <c r="F20" s="271"/>
      <c r="G20" s="274"/>
      <c r="H20" s="275"/>
      <c r="I20" s="276"/>
      <c r="J20" s="275"/>
      <c r="K20" s="276"/>
      <c r="L20" s="262"/>
      <c r="M20" s="263"/>
      <c r="N20" s="264"/>
    </row>
    <row r="21" spans="1:15" ht="46.8" customHeight="1">
      <c r="A21" s="265"/>
      <c r="B21" s="350" t="s">
        <v>400</v>
      </c>
      <c r="C21" s="351"/>
      <c r="D21" s="351"/>
      <c r="E21" s="352"/>
      <c r="F21" s="260" t="s">
        <v>20</v>
      </c>
      <c r="G21" s="261">
        <v>740</v>
      </c>
      <c r="H21" s="341">
        <f>'2.ราคาต่อหน่วยผิวทาง'!P70</f>
        <v>429</v>
      </c>
      <c r="I21" s="342"/>
      <c r="J21" s="341">
        <f>ROUND(H21*G21,2)</f>
        <v>317460</v>
      </c>
      <c r="K21" s="342"/>
      <c r="L21" s="262">
        <f>$J$41</f>
        <v>1.3642000000000001</v>
      </c>
      <c r="M21" s="263">
        <f>ROUND(H21*L21,2)</f>
        <v>585.24</v>
      </c>
      <c r="N21" s="264">
        <f>ROUND(J21*L21,2)</f>
        <v>433078.93</v>
      </c>
    </row>
    <row r="22" spans="1:15" ht="50.4" customHeight="1">
      <c r="A22" s="265"/>
      <c r="B22" s="350" t="s">
        <v>401</v>
      </c>
      <c r="C22" s="351"/>
      <c r="D22" s="351"/>
      <c r="E22" s="352"/>
      <c r="F22" s="260" t="s">
        <v>20</v>
      </c>
      <c r="G22" s="261">
        <v>0</v>
      </c>
      <c r="H22" s="341">
        <v>0</v>
      </c>
      <c r="I22" s="342"/>
      <c r="J22" s="341">
        <f>ROUND(H22*G22,2)</f>
        <v>0</v>
      </c>
      <c r="K22" s="342"/>
      <c r="L22" s="262">
        <v>0</v>
      </c>
      <c r="M22" s="263">
        <f>ROUND(H22*L22,2)</f>
        <v>0</v>
      </c>
      <c r="N22" s="264">
        <f>ROUND(J22*L22,2)</f>
        <v>0</v>
      </c>
    </row>
    <row r="23" spans="1:15">
      <c r="A23" s="265"/>
      <c r="B23" s="266" t="s">
        <v>402</v>
      </c>
      <c r="C23" s="266"/>
      <c r="D23" s="267"/>
      <c r="E23" s="268"/>
      <c r="F23" s="260" t="s">
        <v>31</v>
      </c>
      <c r="G23" s="261">
        <v>10</v>
      </c>
      <c r="H23" s="341">
        <f>'2.ราคาต่อหน่วยผิวทาง'!P82</f>
        <v>141</v>
      </c>
      <c r="I23" s="342"/>
      <c r="J23" s="341">
        <f>ROUND(H23*G23,2)</f>
        <v>1410</v>
      </c>
      <c r="K23" s="342"/>
      <c r="L23" s="262">
        <f>$J$41</f>
        <v>1.3642000000000001</v>
      </c>
      <c r="M23" s="263">
        <f>ROUND(H23*L23,2)</f>
        <v>192.35</v>
      </c>
      <c r="N23" s="264">
        <f>ROUND(J23*L23,2)</f>
        <v>1923.52</v>
      </c>
    </row>
    <row r="24" spans="1:15">
      <c r="A24" s="265"/>
      <c r="B24" s="266" t="s">
        <v>403</v>
      </c>
      <c r="C24" s="266"/>
      <c r="D24" s="267"/>
      <c r="E24" s="268"/>
      <c r="F24" s="260" t="s">
        <v>31</v>
      </c>
      <c r="G24" s="261">
        <v>60</v>
      </c>
      <c r="H24" s="341">
        <f>'2.ราคาต่อหน่วยผิวทาง'!P92</f>
        <v>45</v>
      </c>
      <c r="I24" s="342"/>
      <c r="J24" s="341">
        <f>ROUND(H24*G24,2)</f>
        <v>2700</v>
      </c>
      <c r="K24" s="342"/>
      <c r="L24" s="262">
        <f>$J$41</f>
        <v>1.3642000000000001</v>
      </c>
      <c r="M24" s="263">
        <f>ROUND(H24*L24,2)</f>
        <v>61.39</v>
      </c>
      <c r="N24" s="264">
        <f>ROUND(J24*L24,2)</f>
        <v>3683.34</v>
      </c>
    </row>
    <row r="25" spans="1:15">
      <c r="A25" s="265"/>
      <c r="B25" s="266" t="s">
        <v>404</v>
      </c>
      <c r="C25" s="266"/>
      <c r="D25" s="267"/>
      <c r="E25" s="268"/>
      <c r="F25" s="260" t="s">
        <v>31</v>
      </c>
      <c r="G25" s="261">
        <v>148</v>
      </c>
      <c r="H25" s="341">
        <f>'2.ราคาต่อหน่วยผิวทาง'!P101</f>
        <v>60</v>
      </c>
      <c r="I25" s="342"/>
      <c r="J25" s="341">
        <f>ROUND(H25*G25,2)</f>
        <v>8880</v>
      </c>
      <c r="K25" s="342"/>
      <c r="L25" s="262">
        <f>$J$41</f>
        <v>1.3642000000000001</v>
      </c>
      <c r="M25" s="263">
        <f>ROUND(H25*L25,2)</f>
        <v>81.849999999999994</v>
      </c>
      <c r="N25" s="264">
        <f>ROUND(J25*L25,2)</f>
        <v>12114.1</v>
      </c>
      <c r="O25" s="277"/>
    </row>
    <row r="26" spans="1:15">
      <c r="A26" s="265">
        <v>5</v>
      </c>
      <c r="B26" s="269" t="s">
        <v>187</v>
      </c>
      <c r="C26" s="266"/>
      <c r="D26" s="267"/>
      <c r="E26" s="268"/>
      <c r="F26" s="271"/>
      <c r="G26" s="274"/>
      <c r="H26" s="275"/>
      <c r="I26" s="276"/>
      <c r="J26" s="275"/>
      <c r="K26" s="276"/>
      <c r="L26" s="262"/>
      <c r="M26" s="263"/>
      <c r="N26" s="264"/>
    </row>
    <row r="27" spans="1:15">
      <c r="A27" s="278"/>
      <c r="B27" s="279" t="s">
        <v>405</v>
      </c>
      <c r="C27" s="279"/>
      <c r="D27" s="280"/>
      <c r="E27" s="281"/>
      <c r="F27" s="301" t="s">
        <v>18</v>
      </c>
      <c r="G27" s="302">
        <v>22</v>
      </c>
      <c r="H27" s="343">
        <f>'1.ค่าวัสดุและดำเนินการ'!F23</f>
        <v>74</v>
      </c>
      <c r="I27" s="344"/>
      <c r="J27" s="343">
        <f>ROUND(H27*G27,2)</f>
        <v>1628</v>
      </c>
      <c r="K27" s="344"/>
      <c r="L27" s="286">
        <f>$J$41</f>
        <v>1.3642000000000001</v>
      </c>
      <c r="M27" s="284">
        <f>ROUND(H27*L27,2)</f>
        <v>100.95</v>
      </c>
      <c r="N27" s="287">
        <f>ROUND(J27*L27,2)</f>
        <v>2220.92</v>
      </c>
    </row>
    <row r="28" spans="1:15">
      <c r="A28" s="265">
        <v>6</v>
      </c>
      <c r="B28" s="269" t="s">
        <v>351</v>
      </c>
      <c r="C28" s="266"/>
      <c r="D28" s="267"/>
      <c r="E28" s="268"/>
      <c r="F28" s="271"/>
      <c r="G28" s="274"/>
      <c r="H28" s="275"/>
      <c r="I28" s="276"/>
      <c r="J28" s="275"/>
      <c r="K28" s="276"/>
      <c r="L28" s="262"/>
      <c r="M28" s="263"/>
      <c r="N28" s="264"/>
    </row>
    <row r="29" spans="1:15">
      <c r="A29" s="265"/>
      <c r="B29" s="266" t="s">
        <v>406</v>
      </c>
      <c r="C29" s="266"/>
      <c r="D29" s="267"/>
      <c r="E29" s="268"/>
      <c r="F29" s="260" t="s">
        <v>161</v>
      </c>
      <c r="G29" s="261">
        <v>3.75</v>
      </c>
      <c r="H29" s="341">
        <f>'1.ค่าวัสดุและดำเนินการ'!K33</f>
        <v>696.26</v>
      </c>
      <c r="I29" s="342"/>
      <c r="J29" s="341">
        <f>ROUND(H29*G29,2)</f>
        <v>2610.98</v>
      </c>
      <c r="K29" s="342"/>
      <c r="L29" s="262">
        <f>$J$41</f>
        <v>1.3642000000000001</v>
      </c>
      <c r="M29" s="263">
        <f>ROUND(H29*L29,2)</f>
        <v>949.84</v>
      </c>
      <c r="N29" s="264">
        <f>ROUND(J29*L29,2)</f>
        <v>3561.9</v>
      </c>
    </row>
    <row r="30" spans="1:15">
      <c r="A30" s="265"/>
      <c r="B30" s="266" t="s">
        <v>407</v>
      </c>
      <c r="C30" s="266"/>
      <c r="D30" s="267"/>
      <c r="E30" s="268"/>
      <c r="F30" s="260" t="s">
        <v>408</v>
      </c>
      <c r="G30" s="261">
        <v>3</v>
      </c>
      <c r="H30" s="341">
        <f>'1.ค่าวัสดุและดำเนินการ'!K35</f>
        <v>3</v>
      </c>
      <c r="I30" s="342"/>
      <c r="J30" s="341">
        <f>ROUND(H30*G30,2)</f>
        <v>9</v>
      </c>
      <c r="K30" s="342"/>
      <c r="L30" s="262">
        <f>$J$41</f>
        <v>1.3642000000000001</v>
      </c>
      <c r="M30" s="263">
        <f>ROUND(H30*L30,2)</f>
        <v>4.09</v>
      </c>
      <c r="N30" s="264">
        <f>ROUND(J30*L30,2)</f>
        <v>12.28</v>
      </c>
    </row>
    <row r="31" spans="1:15">
      <c r="A31" s="265">
        <v>7</v>
      </c>
      <c r="B31" s="269" t="s">
        <v>387</v>
      </c>
      <c r="C31" s="266"/>
      <c r="D31" s="267"/>
      <c r="E31" s="268"/>
      <c r="F31" s="271"/>
      <c r="G31" s="274"/>
      <c r="H31" s="306"/>
      <c r="I31" s="307"/>
      <c r="J31" s="306"/>
      <c r="K31" s="307"/>
      <c r="L31" s="262"/>
      <c r="M31" s="263"/>
      <c r="N31" s="264"/>
    </row>
    <row r="32" spans="1:15" ht="49.8" customHeight="1">
      <c r="A32" s="265"/>
      <c r="B32" s="350" t="s">
        <v>388</v>
      </c>
      <c r="C32" s="351"/>
      <c r="D32" s="351"/>
      <c r="E32" s="352"/>
      <c r="F32" s="271" t="s">
        <v>161</v>
      </c>
      <c r="G32" s="274">
        <v>0</v>
      </c>
      <c r="H32" s="341">
        <f>'1.ค่าวัสดุและดำเนินการ'!K24</f>
        <v>0</v>
      </c>
      <c r="I32" s="342"/>
      <c r="J32" s="341">
        <f>ROUND(H32*G32,2)</f>
        <v>0</v>
      </c>
      <c r="K32" s="342"/>
      <c r="L32" s="262">
        <f>$J$41</f>
        <v>1.3642000000000001</v>
      </c>
      <c r="M32" s="263">
        <f>ROUND(H32*L32,2)</f>
        <v>0</v>
      </c>
      <c r="N32" s="264">
        <f>ROUND(J32*L32,2)</f>
        <v>0</v>
      </c>
    </row>
    <row r="33" spans="1:16">
      <c r="A33" s="265">
        <v>8</v>
      </c>
      <c r="B33" s="266" t="s">
        <v>386</v>
      </c>
      <c r="C33" s="266"/>
      <c r="D33" s="267"/>
      <c r="E33" s="268"/>
      <c r="F33" s="271" t="s">
        <v>378</v>
      </c>
      <c r="G33" s="274">
        <v>1</v>
      </c>
      <c r="H33" s="341">
        <f>ป้ายโครงการ!I14</f>
        <v>1836.35</v>
      </c>
      <c r="I33" s="342"/>
      <c r="J33" s="341">
        <f>ROUND(H33*G33,2)</f>
        <v>1836.35</v>
      </c>
      <c r="K33" s="342"/>
      <c r="L33" s="262">
        <f>$J$41</f>
        <v>1.3642000000000001</v>
      </c>
      <c r="M33" s="263">
        <f>ROUND(H33*L33,2)</f>
        <v>2505.15</v>
      </c>
      <c r="N33" s="264">
        <f>ROUND(J33*L33,2)</f>
        <v>2505.15</v>
      </c>
    </row>
    <row r="34" spans="1:16">
      <c r="A34" s="278">
        <v>9</v>
      </c>
      <c r="B34" s="279" t="s">
        <v>69</v>
      </c>
      <c r="C34" s="279"/>
      <c r="D34" s="280"/>
      <c r="E34" s="281"/>
      <c r="F34" s="282"/>
      <c r="G34" s="283"/>
      <c r="H34" s="284"/>
      <c r="I34" s="285"/>
      <c r="J34" s="284"/>
      <c r="K34" s="285"/>
      <c r="L34" s="286"/>
      <c r="M34" s="287"/>
      <c r="N34" s="264"/>
    </row>
    <row r="35" spans="1:16">
      <c r="C35" s="288"/>
      <c r="D35" s="289"/>
      <c r="E35" s="289"/>
      <c r="G35" s="290"/>
      <c r="H35" s="290"/>
      <c r="K35" s="291"/>
      <c r="M35" s="288" t="s">
        <v>189</v>
      </c>
      <c r="N35" s="292">
        <f>ROUND((SUM(N12:N34)),2)</f>
        <v>504568.38</v>
      </c>
      <c r="P35" s="277"/>
    </row>
    <row r="36" spans="1:16" ht="25.2" thickBot="1">
      <c r="C36" s="288"/>
      <c r="D36" s="289"/>
      <c r="E36" s="289"/>
      <c r="G36" s="290"/>
      <c r="H36" s="290"/>
      <c r="K36" s="291"/>
      <c r="M36" s="288" t="s">
        <v>227</v>
      </c>
      <c r="N36" s="293">
        <f>ROUNDDOWN(N35,2)</f>
        <v>504568.38</v>
      </c>
    </row>
    <row r="37" spans="1:16" ht="6.6" customHeight="1" thickTop="1" thickBot="1">
      <c r="C37" s="288"/>
      <c r="D37" s="289"/>
      <c r="E37" s="289"/>
      <c r="G37" s="290"/>
      <c r="H37" s="290"/>
      <c r="K37" s="291"/>
      <c r="M37" s="288"/>
      <c r="N37" s="304"/>
    </row>
    <row r="38" spans="1:16" ht="25.2" thickBot="1">
      <c r="B38" s="289" t="s">
        <v>27</v>
      </c>
      <c r="C38" s="288"/>
      <c r="D38" s="289"/>
      <c r="E38" s="289"/>
      <c r="H38" s="290"/>
      <c r="J38" s="369">
        <f>SUM(J12:K34)</f>
        <v>369863.92999999993</v>
      </c>
      <c r="K38" s="370"/>
      <c r="L38" s="371"/>
      <c r="M38" s="270"/>
      <c r="N38" s="294"/>
      <c r="P38" s="295"/>
    </row>
    <row r="39" spans="1:16" ht="25.2" thickBot="1">
      <c r="B39" s="289" t="s">
        <v>28</v>
      </c>
      <c r="C39" s="288"/>
      <c r="D39" s="289"/>
      <c r="E39" s="289"/>
      <c r="H39" s="290"/>
      <c r="J39" s="369" t="s">
        <v>16</v>
      </c>
      <c r="K39" s="370"/>
      <c r="L39" s="371"/>
      <c r="M39" s="270"/>
      <c r="N39" s="294"/>
      <c r="O39" s="253"/>
      <c r="P39" s="295"/>
    </row>
    <row r="40" spans="1:16" ht="6.75" customHeight="1" thickBot="1">
      <c r="B40" s="289"/>
      <c r="C40" s="288"/>
      <c r="D40" s="289"/>
      <c r="E40" s="289"/>
      <c r="H40" s="290"/>
      <c r="J40" s="296"/>
      <c r="K40" s="296"/>
      <c r="L40" s="296"/>
      <c r="M40" s="270"/>
      <c r="N40" s="294"/>
      <c r="P40" s="277"/>
    </row>
    <row r="41" spans="1:16" ht="25.2" thickBot="1">
      <c r="B41" s="289" t="s">
        <v>29</v>
      </c>
      <c r="C41" s="288"/>
      <c r="D41" s="289"/>
      <c r="E41" s="289"/>
      <c r="H41" s="290"/>
      <c r="J41" s="345">
        <v>1.3642000000000001</v>
      </c>
      <c r="K41" s="346"/>
      <c r="L41" s="347"/>
      <c r="M41" s="270"/>
      <c r="N41" s="294"/>
    </row>
    <row r="42" spans="1:16" ht="25.2" thickBot="1">
      <c r="B42" s="289" t="s">
        <v>30</v>
      </c>
      <c r="C42" s="288"/>
      <c r="D42" s="289"/>
      <c r="E42" s="289"/>
      <c r="H42" s="290"/>
      <c r="J42" s="345" t="s">
        <v>16</v>
      </c>
      <c r="K42" s="346"/>
      <c r="L42" s="347"/>
      <c r="M42" s="270"/>
      <c r="N42" s="294"/>
    </row>
    <row r="43" spans="1:16">
      <c r="B43" s="289"/>
      <c r="C43" s="288"/>
      <c r="D43" s="289"/>
      <c r="E43" s="289"/>
      <c r="H43" s="290"/>
      <c r="J43" s="297"/>
      <c r="K43" s="297"/>
      <c r="L43" s="297"/>
      <c r="M43" s="270"/>
      <c r="N43" s="294"/>
    </row>
    <row r="44" spans="1:16">
      <c r="E44" s="250" t="s">
        <v>63</v>
      </c>
    </row>
    <row r="45" spans="1:16">
      <c r="E45" s="348" t="str">
        <f>B62</f>
        <v>( นางสาวดารารัตน์  จันต๊ะยอด )</v>
      </c>
      <c r="F45" s="348"/>
      <c r="G45" s="348"/>
      <c r="H45" s="348"/>
      <c r="I45" s="348"/>
      <c r="J45" s="348"/>
      <c r="K45" s="348"/>
    </row>
    <row r="46" spans="1:16">
      <c r="E46" s="348" t="str">
        <f>D62</f>
        <v>หัวหน้าสำนักปลัด</v>
      </c>
      <c r="F46" s="348"/>
      <c r="G46" s="348"/>
      <c r="H46" s="348"/>
      <c r="I46" s="348"/>
      <c r="J46" s="348"/>
      <c r="K46" s="348"/>
    </row>
    <row r="47" spans="1:16" ht="3.75" customHeight="1"/>
    <row r="48" spans="1:16">
      <c r="B48" s="250" t="s">
        <v>345</v>
      </c>
      <c r="H48" s="250" t="s">
        <v>343</v>
      </c>
    </row>
    <row r="49" spans="2:12">
      <c r="B49" s="348" t="str">
        <f>B74</f>
        <v>( นายสุรเดช   พรมมีเดช )</v>
      </c>
      <c r="C49" s="349"/>
      <c r="D49" s="349"/>
      <c r="I49" s="348" t="str">
        <f>B73</f>
        <v>( นางเกษสุรินทร์  พอใจ )</v>
      </c>
      <c r="J49" s="348"/>
      <c r="K49" s="348"/>
      <c r="L49" s="348"/>
    </row>
    <row r="50" spans="2:12">
      <c r="B50" s="348" t="str">
        <f>D74</f>
        <v>นายช่างโยธา</v>
      </c>
      <c r="C50" s="349"/>
      <c r="D50" s="349"/>
      <c r="I50" s="348" t="str">
        <f>D73</f>
        <v>นักพัฒนาชุมชน</v>
      </c>
      <c r="J50" s="348"/>
      <c r="K50" s="348"/>
      <c r="L50" s="348"/>
    </row>
    <row r="51" spans="2:12" ht="7.5" customHeight="1">
      <c r="B51" s="299"/>
      <c r="C51" s="290"/>
      <c r="D51" s="290"/>
      <c r="I51" s="299"/>
      <c r="J51" s="299"/>
      <c r="K51" s="299"/>
      <c r="L51" s="299"/>
    </row>
    <row r="52" spans="2:12">
      <c r="B52" s="250" t="s">
        <v>346</v>
      </c>
      <c r="H52" s="250" t="s">
        <v>344</v>
      </c>
    </row>
    <row r="53" spans="2:12">
      <c r="B53" s="348" t="str">
        <f>B70</f>
        <v>( นางอังคณา  ชราชิต )</v>
      </c>
      <c r="C53" s="349"/>
      <c r="D53" s="349"/>
      <c r="I53" s="348" t="s">
        <v>16</v>
      </c>
      <c r="J53" s="348"/>
      <c r="K53" s="348"/>
      <c r="L53" s="348"/>
    </row>
    <row r="54" spans="2:12">
      <c r="B54" s="348" t="str">
        <f>D70</f>
        <v>นักวิชาการเงินและบัญชี</v>
      </c>
      <c r="C54" s="349"/>
      <c r="D54" s="349"/>
      <c r="I54" s="348" t="s">
        <v>16</v>
      </c>
      <c r="J54" s="348"/>
      <c r="K54" s="348"/>
      <c r="L54" s="348"/>
    </row>
    <row r="55" spans="2:12">
      <c r="B55" s="299"/>
      <c r="C55" s="290"/>
      <c r="D55" s="290"/>
      <c r="I55" s="299"/>
      <c r="J55" s="299"/>
      <c r="K55" s="299"/>
      <c r="L55" s="299"/>
    </row>
    <row r="56" spans="2:12">
      <c r="B56" s="299"/>
      <c r="C56" s="290"/>
      <c r="D56" s="290"/>
      <c r="I56" s="299"/>
      <c r="J56" s="299"/>
      <c r="K56" s="299"/>
      <c r="L56" s="299"/>
    </row>
    <row r="57" spans="2:12">
      <c r="B57" s="298" t="s">
        <v>32</v>
      </c>
      <c r="D57" s="298" t="s">
        <v>33</v>
      </c>
    </row>
    <row r="58" spans="2:12">
      <c r="B58" s="298" t="s">
        <v>232</v>
      </c>
      <c r="D58" s="298" t="s">
        <v>33</v>
      </c>
    </row>
    <row r="59" spans="2:12">
      <c r="B59" s="298" t="s">
        <v>34</v>
      </c>
      <c r="D59" s="298" t="s">
        <v>35</v>
      </c>
    </row>
    <row r="60" spans="2:12">
      <c r="B60" s="300" t="s">
        <v>326</v>
      </c>
      <c r="D60" s="250" t="s">
        <v>36</v>
      </c>
    </row>
    <row r="61" spans="2:12">
      <c r="B61" s="250" t="s">
        <v>37</v>
      </c>
      <c r="D61" s="250" t="s">
        <v>38</v>
      </c>
    </row>
    <row r="62" spans="2:12">
      <c r="B62" s="250" t="s">
        <v>348</v>
      </c>
      <c r="D62" s="250" t="s">
        <v>39</v>
      </c>
    </row>
    <row r="63" spans="2:12">
      <c r="B63" s="250" t="s">
        <v>40</v>
      </c>
      <c r="D63" s="250" t="s">
        <v>41</v>
      </c>
    </row>
    <row r="64" spans="2:12">
      <c r="B64" s="250" t="s">
        <v>42</v>
      </c>
      <c r="D64" s="250" t="s">
        <v>43</v>
      </c>
    </row>
    <row r="65" spans="2:4">
      <c r="B65" s="250" t="s">
        <v>44</v>
      </c>
      <c r="D65" s="250" t="s">
        <v>45</v>
      </c>
    </row>
    <row r="66" spans="2:4">
      <c r="B66" s="250" t="s">
        <v>46</v>
      </c>
      <c r="D66" s="250" t="s">
        <v>47</v>
      </c>
    </row>
    <row r="67" spans="2:4">
      <c r="B67" s="250" t="s">
        <v>48</v>
      </c>
      <c r="D67" s="250" t="s">
        <v>49</v>
      </c>
    </row>
    <row r="68" spans="2:4">
      <c r="B68" s="250" t="s">
        <v>357</v>
      </c>
      <c r="D68" s="250" t="s">
        <v>50</v>
      </c>
    </row>
    <row r="69" spans="2:4">
      <c r="B69" s="250" t="s">
        <v>51</v>
      </c>
      <c r="D69" s="250" t="s">
        <v>52</v>
      </c>
    </row>
    <row r="70" spans="2:4">
      <c r="B70" s="250" t="s">
        <v>53</v>
      </c>
      <c r="D70" s="250" t="s">
        <v>413</v>
      </c>
    </row>
    <row r="71" spans="2:4">
      <c r="B71" s="250" t="s">
        <v>349</v>
      </c>
      <c r="D71" s="250" t="s">
        <v>54</v>
      </c>
    </row>
    <row r="72" spans="2:4">
      <c r="B72" s="250" t="s">
        <v>55</v>
      </c>
      <c r="D72" s="250" t="s">
        <v>56</v>
      </c>
    </row>
    <row r="73" spans="2:4">
      <c r="B73" s="250" t="s">
        <v>57</v>
      </c>
      <c r="D73" s="250" t="s">
        <v>58</v>
      </c>
    </row>
    <row r="74" spans="2:4">
      <c r="B74" s="250" t="s">
        <v>59</v>
      </c>
      <c r="D74" s="298" t="s">
        <v>60</v>
      </c>
    </row>
    <row r="75" spans="2:4">
      <c r="B75" s="250" t="s">
        <v>340</v>
      </c>
      <c r="D75" s="298" t="s">
        <v>341</v>
      </c>
    </row>
    <row r="76" spans="2:4">
      <c r="B76" s="250" t="s">
        <v>353</v>
      </c>
      <c r="D76" s="298" t="s">
        <v>354</v>
      </c>
    </row>
    <row r="77" spans="2:4">
      <c r="B77" s="250" t="s">
        <v>355</v>
      </c>
      <c r="D77" s="298" t="s">
        <v>354</v>
      </c>
    </row>
    <row r="78" spans="2:4">
      <c r="B78" s="250" t="s">
        <v>358</v>
      </c>
      <c r="D78" s="298" t="s">
        <v>356</v>
      </c>
    </row>
    <row r="79" spans="2:4">
      <c r="B79" s="250" t="s">
        <v>389</v>
      </c>
      <c r="D79" s="250" t="s">
        <v>390</v>
      </c>
    </row>
  </sheetData>
  <mergeCells count="62">
    <mergeCell ref="B21:E21"/>
    <mergeCell ref="E45:K45"/>
    <mergeCell ref="E46:K46"/>
    <mergeCell ref="B22:E22"/>
    <mergeCell ref="H22:I22"/>
    <mergeCell ref="J22:K22"/>
    <mergeCell ref="J42:L42"/>
    <mergeCell ref="J39:L39"/>
    <mergeCell ref="J23:K23"/>
    <mergeCell ref="H21:I21"/>
    <mergeCell ref="J21:K21"/>
    <mergeCell ref="J38:L38"/>
    <mergeCell ref="H23:I23"/>
    <mergeCell ref="H25:I25"/>
    <mergeCell ref="J25:K25"/>
    <mergeCell ref="H27:I27"/>
    <mergeCell ref="H16:I16"/>
    <mergeCell ref="J16:K16"/>
    <mergeCell ref="A1:N1"/>
    <mergeCell ref="A10:A11"/>
    <mergeCell ref="B10:E11"/>
    <mergeCell ref="F10:F11"/>
    <mergeCell ref="G10:G11"/>
    <mergeCell ref="H10:I10"/>
    <mergeCell ref="J10:K11"/>
    <mergeCell ref="L10:L11"/>
    <mergeCell ref="N10:N11"/>
    <mergeCell ref="H11:I11"/>
    <mergeCell ref="C5:N5"/>
    <mergeCell ref="B32:E32"/>
    <mergeCell ref="H32:I32"/>
    <mergeCell ref="H12:I12"/>
    <mergeCell ref="J12:K12"/>
    <mergeCell ref="H13:I13"/>
    <mergeCell ref="H24:I24"/>
    <mergeCell ref="J24:K24"/>
    <mergeCell ref="H17:I17"/>
    <mergeCell ref="J17:K17"/>
    <mergeCell ref="H19:I19"/>
    <mergeCell ref="J19:K19"/>
    <mergeCell ref="J18:K18"/>
    <mergeCell ref="J13:K13"/>
    <mergeCell ref="J14:K14"/>
    <mergeCell ref="H15:I15"/>
    <mergeCell ref="J15:K15"/>
    <mergeCell ref="B54:D54"/>
    <mergeCell ref="I54:L54"/>
    <mergeCell ref="B49:D49"/>
    <mergeCell ref="I49:L49"/>
    <mergeCell ref="B50:D50"/>
    <mergeCell ref="I50:L50"/>
    <mergeCell ref="B53:D53"/>
    <mergeCell ref="I53:L53"/>
    <mergeCell ref="J32:K32"/>
    <mergeCell ref="J27:K27"/>
    <mergeCell ref="J41:L41"/>
    <mergeCell ref="H29:I29"/>
    <mergeCell ref="J29:K29"/>
    <mergeCell ref="H33:I33"/>
    <mergeCell ref="J33:K33"/>
    <mergeCell ref="H30:I30"/>
    <mergeCell ref="J30:K30"/>
  </mergeCells>
  <printOptions horizontalCentered="1"/>
  <pageMargins left="0.19685039370078741" right="0" top="0.59055118110236227" bottom="0" header="0" footer="0"/>
  <pageSetup paperSize="9" scale="85" orientation="portrait" horizontalDpi="4294967294" r:id="rId1"/>
  <rowBreaks count="1" manualBreakCount="1">
    <brk id="27" max="13" man="1"/>
  </rowBreaks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102"/>
  <sheetViews>
    <sheetView view="pageBreakPreview" topLeftCell="A58" zoomScaleNormal="100" zoomScaleSheetLayoutView="100" workbookViewId="0">
      <selection activeCell="V76" sqref="V76"/>
    </sheetView>
  </sheetViews>
  <sheetFormatPr defaultColWidth="9" defaultRowHeight="21.6" customHeight="1"/>
  <cols>
    <col min="1" max="1" width="1.33203125" style="116" customWidth="1"/>
    <col min="2" max="2" width="15.33203125" style="116" customWidth="1"/>
    <col min="3" max="3" width="19.21875" style="116" customWidth="1"/>
    <col min="4" max="4" width="3.77734375" style="116" customWidth="1"/>
    <col min="5" max="5" width="9.109375" style="116" customWidth="1"/>
    <col min="6" max="6" width="6.44140625" style="116" customWidth="1"/>
    <col min="7" max="7" width="6.88671875" style="116" customWidth="1"/>
    <col min="8" max="8" width="3" style="116" customWidth="1"/>
    <col min="9" max="9" width="7.88671875" style="116" customWidth="1"/>
    <col min="10" max="10" width="9" style="116"/>
    <col min="11" max="11" width="2.6640625" style="116" customWidth="1"/>
    <col min="12" max="12" width="5.6640625" style="116" customWidth="1"/>
    <col min="13" max="13" width="5.109375" style="116" customWidth="1"/>
    <col min="14" max="14" width="3.88671875" style="116" customWidth="1"/>
    <col min="15" max="15" width="3.77734375" style="116" customWidth="1"/>
    <col min="16" max="16" width="11.77734375" style="117" customWidth="1"/>
    <col min="17" max="17" width="10.21875" style="116" customWidth="1"/>
    <col min="18" max="20" width="9" style="116"/>
    <col min="21" max="21" width="14.6640625" style="116" customWidth="1"/>
    <col min="22" max="16384" width="9" style="116"/>
  </cols>
  <sheetData>
    <row r="1" spans="2:17" ht="21.6" hidden="1" customHeight="1">
      <c r="B1" s="115" t="s">
        <v>253</v>
      </c>
    </row>
    <row r="2" spans="2:17" ht="21.6" hidden="1" customHeight="1">
      <c r="B2" s="116" t="s">
        <v>277</v>
      </c>
      <c r="O2" s="118" t="s">
        <v>74</v>
      </c>
      <c r="P2" s="119">
        <v>0</v>
      </c>
      <c r="Q2" s="118" t="s">
        <v>119</v>
      </c>
    </row>
    <row r="3" spans="2:17" ht="21.6" hidden="1" customHeight="1" thickBot="1">
      <c r="N3" s="120" t="s">
        <v>168</v>
      </c>
      <c r="O3" s="118" t="s">
        <v>74</v>
      </c>
      <c r="P3" s="121">
        <f>ROUNDDOWN(P2,2)</f>
        <v>0</v>
      </c>
      <c r="Q3" s="118" t="s">
        <v>119</v>
      </c>
    </row>
    <row r="4" spans="2:17" ht="21.6" hidden="1" customHeight="1" thickTop="1"/>
    <row r="5" spans="2:17" ht="21.6" customHeight="1">
      <c r="B5" s="122" t="s">
        <v>190</v>
      </c>
      <c r="C5" s="123"/>
      <c r="D5" s="123"/>
      <c r="E5" s="124"/>
    </row>
    <row r="6" spans="2:17" ht="21.6" customHeight="1">
      <c r="B6" s="116" t="s">
        <v>191</v>
      </c>
      <c r="E6" s="120"/>
      <c r="O6" s="124" t="s">
        <v>19</v>
      </c>
      <c r="P6" s="125">
        <f>'1.ค่าวัสดุและดำเนินการ'!K20</f>
        <v>542.58000000000004</v>
      </c>
      <c r="Q6" s="126" t="s">
        <v>207</v>
      </c>
    </row>
    <row r="7" spans="2:17" ht="21.6" customHeight="1">
      <c r="B7" s="127" t="s">
        <v>192</v>
      </c>
      <c r="C7" s="123"/>
      <c r="D7" s="383">
        <v>0</v>
      </c>
      <c r="E7" s="383"/>
      <c r="F7" s="123" t="s">
        <v>170</v>
      </c>
      <c r="O7" s="124" t="s">
        <v>19</v>
      </c>
      <c r="P7" s="128">
        <v>0</v>
      </c>
      <c r="Q7" s="126" t="s">
        <v>207</v>
      </c>
    </row>
    <row r="8" spans="2:17" ht="21.6" customHeight="1">
      <c r="B8" s="123" t="s">
        <v>67</v>
      </c>
      <c r="C8" s="123"/>
      <c r="D8" s="123"/>
      <c r="E8" s="124"/>
      <c r="O8" s="124"/>
      <c r="P8" s="129">
        <f>ROUND(SUM(P6:P7),2)</f>
        <v>542.58000000000004</v>
      </c>
      <c r="Q8" s="126" t="s">
        <v>207</v>
      </c>
    </row>
    <row r="9" spans="2:17" ht="21.6" customHeight="1">
      <c r="B9" s="123" t="s">
        <v>278</v>
      </c>
      <c r="C9" s="130">
        <v>1.25</v>
      </c>
      <c r="D9" s="131" t="s">
        <v>122</v>
      </c>
      <c r="E9" s="132">
        <f>P6</f>
        <v>542.58000000000004</v>
      </c>
      <c r="F9" s="132"/>
      <c r="O9" s="124" t="s">
        <v>19</v>
      </c>
      <c r="P9" s="125">
        <f>ROUND(E9*C9,2)</f>
        <v>678.23</v>
      </c>
      <c r="Q9" s="126" t="s">
        <v>123</v>
      </c>
    </row>
    <row r="10" spans="2:17" ht="21.6" customHeight="1">
      <c r="B10" s="116" t="s">
        <v>228</v>
      </c>
      <c r="E10" s="120"/>
      <c r="O10" s="124" t="s">
        <v>19</v>
      </c>
      <c r="P10" s="128">
        <v>0</v>
      </c>
      <c r="Q10" s="126" t="s">
        <v>123</v>
      </c>
    </row>
    <row r="11" spans="2:17" ht="21.6" customHeight="1">
      <c r="B11" s="133" t="s">
        <v>171</v>
      </c>
      <c r="C11" s="123"/>
      <c r="D11" s="123"/>
      <c r="E11" s="124"/>
      <c r="O11" s="124"/>
      <c r="P11" s="134">
        <f>ROUND(SUM(P9:P10),2)</f>
        <v>678.23</v>
      </c>
      <c r="Q11" s="126" t="s">
        <v>207</v>
      </c>
    </row>
    <row r="12" spans="2:17" ht="21.6" customHeight="1" thickBot="1">
      <c r="N12" s="124" t="s">
        <v>168</v>
      </c>
      <c r="P12" s="121">
        <f>ROUNDDOWN(P11,0)</f>
        <v>678</v>
      </c>
      <c r="Q12" s="126" t="s">
        <v>207</v>
      </c>
    </row>
    <row r="13" spans="2:17" ht="21.6" hidden="1" customHeight="1" thickTop="1">
      <c r="N13" s="124"/>
      <c r="P13" s="135"/>
      <c r="Q13" s="126"/>
    </row>
    <row r="14" spans="2:17" ht="21.6" hidden="1" customHeight="1">
      <c r="B14" s="122" t="s">
        <v>193</v>
      </c>
      <c r="N14" s="124"/>
      <c r="P14" s="135"/>
      <c r="Q14" s="126"/>
    </row>
    <row r="15" spans="2:17" ht="21.6" hidden="1" customHeight="1">
      <c r="B15" s="116" t="s">
        <v>254</v>
      </c>
      <c r="N15" s="120"/>
      <c r="O15" s="124" t="s">
        <v>19</v>
      </c>
      <c r="P15" s="136">
        <v>0</v>
      </c>
      <c r="Q15" s="126" t="s">
        <v>207</v>
      </c>
    </row>
    <row r="16" spans="2:17" ht="21.6" hidden="1" customHeight="1">
      <c r="B16" s="133" t="s">
        <v>169</v>
      </c>
      <c r="E16" s="125">
        <v>0</v>
      </c>
      <c r="F16" s="123" t="s">
        <v>170</v>
      </c>
      <c r="N16" s="124"/>
      <c r="O16" s="124" t="s">
        <v>19</v>
      </c>
      <c r="P16" s="137">
        <v>0</v>
      </c>
      <c r="Q16" s="126" t="s">
        <v>207</v>
      </c>
    </row>
    <row r="17" spans="2:17" ht="21.6" hidden="1" customHeight="1">
      <c r="B17" s="123" t="s">
        <v>12</v>
      </c>
      <c r="N17" s="124"/>
      <c r="O17" s="124"/>
      <c r="P17" s="137">
        <f>SUM(P15:P16)</f>
        <v>0</v>
      </c>
      <c r="Q17" s="126" t="s">
        <v>207</v>
      </c>
    </row>
    <row r="18" spans="2:17" ht="21.6" hidden="1" customHeight="1">
      <c r="B18" s="133" t="s">
        <v>259</v>
      </c>
      <c r="D18" s="131" t="s">
        <v>122</v>
      </c>
      <c r="E18" s="117">
        <v>1.25</v>
      </c>
      <c r="N18" s="124"/>
      <c r="O18" s="124"/>
      <c r="P18" s="138">
        <f>ROUND(P17*E18,2)</f>
        <v>0</v>
      </c>
      <c r="Q18" s="126" t="s">
        <v>207</v>
      </c>
    </row>
    <row r="19" spans="2:17" ht="21.6" hidden="1" customHeight="1">
      <c r="B19" s="116" t="s">
        <v>255</v>
      </c>
      <c r="N19" s="120" t="s">
        <v>66</v>
      </c>
      <c r="O19" s="124" t="s">
        <v>19</v>
      </c>
      <c r="P19" s="139">
        <v>0</v>
      </c>
      <c r="Q19" s="126" t="s">
        <v>207</v>
      </c>
    </row>
    <row r="20" spans="2:17" ht="21.6" hidden="1" customHeight="1">
      <c r="B20" s="133" t="s">
        <v>171</v>
      </c>
      <c r="N20" s="124" t="s">
        <v>66</v>
      </c>
      <c r="O20" s="124"/>
      <c r="P20" s="134">
        <f>ROUND(SUM(P18:P19),2)</f>
        <v>0</v>
      </c>
      <c r="Q20" s="126" t="s">
        <v>207</v>
      </c>
    </row>
    <row r="21" spans="2:17" ht="21.6" hidden="1" customHeight="1" thickBot="1">
      <c r="N21" s="124" t="s">
        <v>168</v>
      </c>
      <c r="P21" s="140">
        <f>ROUNDDOWN(P20,0)</f>
        <v>0</v>
      </c>
      <c r="Q21" s="126" t="s">
        <v>207</v>
      </c>
    </row>
    <row r="22" spans="2:17" ht="21.6" hidden="1" customHeight="1" thickTop="1">
      <c r="N22" s="124"/>
      <c r="P22" s="141"/>
      <c r="Q22" s="126"/>
    </row>
    <row r="23" spans="2:17" ht="21.6" hidden="1" customHeight="1">
      <c r="B23" s="122" t="s">
        <v>172</v>
      </c>
      <c r="N23" s="124"/>
      <c r="P23" s="141"/>
      <c r="Q23" s="126"/>
    </row>
    <row r="24" spans="2:17" ht="21.6" hidden="1" customHeight="1">
      <c r="B24" s="116" t="s">
        <v>173</v>
      </c>
      <c r="N24" s="120"/>
      <c r="O24" s="124" t="s">
        <v>19</v>
      </c>
      <c r="P24" s="136">
        <v>0</v>
      </c>
      <c r="Q24" s="126" t="s">
        <v>207</v>
      </c>
    </row>
    <row r="25" spans="2:17" ht="21.6" hidden="1" customHeight="1">
      <c r="B25" s="123" t="s">
        <v>256</v>
      </c>
      <c r="N25" s="120"/>
      <c r="O25" s="124"/>
      <c r="P25" s="136">
        <v>0</v>
      </c>
      <c r="Q25" s="126" t="s">
        <v>207</v>
      </c>
    </row>
    <row r="26" spans="2:17" ht="21.6" hidden="1" customHeight="1">
      <c r="B26" s="133" t="s">
        <v>257</v>
      </c>
      <c r="E26" s="125">
        <v>0</v>
      </c>
      <c r="F26" s="123" t="s">
        <v>170</v>
      </c>
      <c r="N26" s="124"/>
      <c r="O26" s="124" t="s">
        <v>19</v>
      </c>
      <c r="P26" s="136">
        <v>0</v>
      </c>
      <c r="Q26" s="126" t="s">
        <v>207</v>
      </c>
    </row>
    <row r="27" spans="2:17" ht="21.6" hidden="1" customHeight="1">
      <c r="B27" s="123" t="s">
        <v>12</v>
      </c>
      <c r="N27" s="124"/>
      <c r="O27" s="124"/>
      <c r="P27" s="142">
        <f>ROUND(SUM(P24:P26),2)</f>
        <v>0</v>
      </c>
      <c r="Q27" s="126" t="s">
        <v>207</v>
      </c>
    </row>
    <row r="28" spans="2:17" ht="21.6" hidden="1" customHeight="1">
      <c r="B28" s="123" t="s">
        <v>260</v>
      </c>
      <c r="D28" s="131" t="s">
        <v>122</v>
      </c>
      <c r="E28" s="117">
        <v>1.6</v>
      </c>
      <c r="N28" s="124"/>
      <c r="O28" s="124"/>
      <c r="P28" s="143">
        <f>ROUND(P27*E28,2)</f>
        <v>0</v>
      </c>
      <c r="Q28" s="126" t="s">
        <v>207</v>
      </c>
    </row>
    <row r="29" spans="2:17" ht="21.6" hidden="1" customHeight="1">
      <c r="B29" s="123" t="s">
        <v>261</v>
      </c>
      <c r="N29" s="124"/>
      <c r="O29" s="124" t="s">
        <v>19</v>
      </c>
      <c r="P29" s="139">
        <v>0</v>
      </c>
      <c r="Q29" s="126" t="s">
        <v>207</v>
      </c>
    </row>
    <row r="30" spans="2:17" ht="21.6" hidden="1" customHeight="1">
      <c r="B30" s="123" t="s">
        <v>258</v>
      </c>
      <c r="N30" s="124"/>
      <c r="O30" s="124" t="s">
        <v>19</v>
      </c>
      <c r="P30" s="139">
        <v>0</v>
      </c>
      <c r="Q30" s="126" t="s">
        <v>207</v>
      </c>
    </row>
    <row r="31" spans="2:17" ht="21.6" hidden="1" customHeight="1">
      <c r="B31" s="133" t="s">
        <v>171</v>
      </c>
      <c r="N31" s="124"/>
      <c r="O31" s="124" t="s">
        <v>19</v>
      </c>
      <c r="P31" s="144">
        <f>ROUND(SUM(P29:P30),2)</f>
        <v>0</v>
      </c>
      <c r="Q31" s="126" t="s">
        <v>207</v>
      </c>
    </row>
    <row r="32" spans="2:17" ht="21.6" hidden="1" customHeight="1" thickBot="1">
      <c r="N32" s="124" t="s">
        <v>168</v>
      </c>
      <c r="O32" s="124" t="s">
        <v>19</v>
      </c>
      <c r="P32" s="145">
        <f>ROUNDDOWN(P31,0)</f>
        <v>0</v>
      </c>
      <c r="Q32" s="126" t="s">
        <v>207</v>
      </c>
    </row>
    <row r="33" spans="2:17" ht="21.6" hidden="1" customHeight="1" thickTop="1">
      <c r="N33" s="124"/>
      <c r="O33" s="124"/>
      <c r="P33" s="146"/>
      <c r="Q33" s="126"/>
    </row>
    <row r="34" spans="2:17" ht="21.6" hidden="1" customHeight="1">
      <c r="B34" s="122" t="s">
        <v>174</v>
      </c>
      <c r="N34" s="124"/>
      <c r="O34" s="124"/>
      <c r="P34" s="146"/>
      <c r="Q34" s="126"/>
    </row>
    <row r="35" spans="2:17" ht="21.6" hidden="1" customHeight="1">
      <c r="B35" s="123" t="s">
        <v>175</v>
      </c>
      <c r="N35" s="124"/>
      <c r="O35" s="124" t="s">
        <v>19</v>
      </c>
      <c r="P35" s="147">
        <v>0</v>
      </c>
      <c r="Q35" s="126" t="s">
        <v>207</v>
      </c>
    </row>
    <row r="36" spans="2:17" ht="21.6" hidden="1" customHeight="1">
      <c r="B36" s="123" t="s">
        <v>256</v>
      </c>
      <c r="N36" s="124"/>
      <c r="O36" s="124" t="s">
        <v>19</v>
      </c>
      <c r="P36" s="139">
        <v>0</v>
      </c>
      <c r="Q36" s="126" t="s">
        <v>207</v>
      </c>
    </row>
    <row r="37" spans="2:17" ht="21.6" hidden="1" customHeight="1">
      <c r="B37" s="133" t="s">
        <v>257</v>
      </c>
      <c r="E37" s="125">
        <v>0</v>
      </c>
      <c r="F37" s="123" t="s">
        <v>170</v>
      </c>
      <c r="N37" s="124"/>
      <c r="O37" s="124" t="s">
        <v>19</v>
      </c>
      <c r="P37" s="139">
        <v>0</v>
      </c>
      <c r="Q37" s="126" t="s">
        <v>207</v>
      </c>
    </row>
    <row r="38" spans="2:17" ht="21.6" hidden="1" customHeight="1">
      <c r="B38" s="123" t="s">
        <v>67</v>
      </c>
      <c r="N38" s="124"/>
      <c r="O38" s="124"/>
      <c r="P38" s="134">
        <f>ROUND(SUM(P35:P37),2)</f>
        <v>0</v>
      </c>
      <c r="Q38" s="126" t="s">
        <v>207</v>
      </c>
    </row>
    <row r="39" spans="2:17" ht="21.6" hidden="1" customHeight="1">
      <c r="B39" s="123" t="s">
        <v>260</v>
      </c>
      <c r="D39" s="131" t="s">
        <v>122</v>
      </c>
      <c r="E39" s="117">
        <f>G48</f>
        <v>1.6</v>
      </c>
      <c r="N39" s="124"/>
      <c r="O39" s="124" t="s">
        <v>19</v>
      </c>
      <c r="P39" s="139">
        <f>ROUND(P38*E39,2)</f>
        <v>0</v>
      </c>
      <c r="Q39" s="126" t="s">
        <v>207</v>
      </c>
    </row>
    <row r="40" spans="2:17" ht="21.6" hidden="1" customHeight="1">
      <c r="B40" s="123" t="s">
        <v>261</v>
      </c>
      <c r="N40" s="124"/>
      <c r="O40" s="124" t="s">
        <v>19</v>
      </c>
      <c r="P40" s="139">
        <v>0</v>
      </c>
      <c r="Q40" s="126" t="s">
        <v>207</v>
      </c>
    </row>
    <row r="41" spans="2:17" ht="21.6" hidden="1" customHeight="1">
      <c r="B41" s="123" t="s">
        <v>262</v>
      </c>
      <c r="N41" s="124"/>
      <c r="O41" s="124" t="s">
        <v>19</v>
      </c>
      <c r="P41" s="139">
        <v>0</v>
      </c>
      <c r="Q41" s="126" t="s">
        <v>207</v>
      </c>
    </row>
    <row r="42" spans="2:17" ht="21.6" hidden="1" customHeight="1">
      <c r="B42" s="123" t="s">
        <v>68</v>
      </c>
      <c r="N42" s="124"/>
      <c r="O42" s="124" t="s">
        <v>19</v>
      </c>
      <c r="P42" s="148">
        <f>ROUND(SUM(P39:P41),2)</f>
        <v>0</v>
      </c>
      <c r="Q42" s="126" t="s">
        <v>207</v>
      </c>
    </row>
    <row r="43" spans="2:17" ht="21.6" hidden="1" customHeight="1" thickBot="1">
      <c r="N43" s="124" t="s">
        <v>168</v>
      </c>
      <c r="O43" s="124" t="s">
        <v>19</v>
      </c>
      <c r="P43" s="140">
        <f>ROUNDDOWN(P42,0)</f>
        <v>0</v>
      </c>
      <c r="Q43" s="126" t="s">
        <v>207</v>
      </c>
    </row>
    <row r="44" spans="2:17" ht="21.6" hidden="1" customHeight="1" thickTop="1" thickBot="1">
      <c r="N44" s="124"/>
      <c r="O44" s="124"/>
      <c r="P44" s="141"/>
      <c r="Q44" s="126"/>
    </row>
    <row r="45" spans="2:17" ht="21.6" hidden="1" customHeight="1" thickTop="1">
      <c r="C45" s="149" t="s">
        <v>263</v>
      </c>
      <c r="N45" s="124"/>
      <c r="O45" s="124"/>
      <c r="P45" s="150"/>
      <c r="Q45" s="126"/>
    </row>
    <row r="46" spans="2:17" ht="21.6" hidden="1" customHeight="1">
      <c r="G46" s="151" t="s">
        <v>265</v>
      </c>
      <c r="H46" s="151"/>
      <c r="I46" s="151" t="s">
        <v>266</v>
      </c>
      <c r="N46" s="124"/>
      <c r="O46" s="124"/>
      <c r="P46" s="141"/>
      <c r="Q46" s="126"/>
    </row>
    <row r="47" spans="2:17" ht="21.6" hidden="1" customHeight="1">
      <c r="C47" s="116" t="s">
        <v>267</v>
      </c>
      <c r="G47" s="117">
        <v>1.4</v>
      </c>
      <c r="H47" s="117"/>
      <c r="I47" s="117">
        <v>1.45</v>
      </c>
      <c r="N47" s="124"/>
      <c r="O47" s="124"/>
      <c r="P47" s="141"/>
      <c r="Q47" s="126"/>
    </row>
    <row r="48" spans="2:17" ht="21.6" hidden="1" customHeight="1">
      <c r="C48" s="116" t="s">
        <v>268</v>
      </c>
      <c r="G48" s="117">
        <v>1.6</v>
      </c>
      <c r="H48" s="117"/>
      <c r="I48" s="117">
        <v>1.7</v>
      </c>
      <c r="N48" s="124"/>
      <c r="O48" s="124"/>
      <c r="P48" s="141"/>
      <c r="Q48" s="126"/>
    </row>
    <row r="49" spans="1:22" ht="21.6" hidden="1" customHeight="1">
      <c r="C49" s="116" t="s">
        <v>269</v>
      </c>
      <c r="G49" s="117">
        <v>1.85</v>
      </c>
      <c r="H49" s="117"/>
      <c r="I49" s="117">
        <v>1.9</v>
      </c>
      <c r="N49" s="124"/>
      <c r="O49" s="124"/>
      <c r="P49" s="141"/>
      <c r="Q49" s="126"/>
    </row>
    <row r="50" spans="1:22" ht="21.6" hidden="1" customHeight="1">
      <c r="C50" s="116" t="s">
        <v>264</v>
      </c>
      <c r="N50" s="124"/>
      <c r="O50" s="124"/>
      <c r="P50" s="141"/>
      <c r="Q50" s="126"/>
    </row>
    <row r="51" spans="1:22" ht="21.6" hidden="1" customHeight="1">
      <c r="N51" s="124"/>
      <c r="O51" s="124"/>
      <c r="P51" s="141"/>
      <c r="Q51" s="126"/>
    </row>
    <row r="52" spans="1:22" ht="21.6" customHeight="1" thickTop="1">
      <c r="A52" s="152"/>
      <c r="B52" s="115" t="s">
        <v>332</v>
      </c>
      <c r="C52" s="152"/>
      <c r="D52" s="152"/>
      <c r="E52" s="152"/>
      <c r="F52" s="152"/>
      <c r="G52" s="152"/>
      <c r="H52" s="153"/>
      <c r="I52" s="115"/>
      <c r="J52" s="152"/>
      <c r="K52" s="152"/>
      <c r="L52" s="154" t="s">
        <v>120</v>
      </c>
      <c r="M52" s="155">
        <v>15</v>
      </c>
      <c r="N52" s="156" t="s">
        <v>121</v>
      </c>
      <c r="O52" s="152"/>
      <c r="Q52" s="152"/>
    </row>
    <row r="53" spans="1:22" ht="21.6" customHeight="1">
      <c r="A53" s="152"/>
      <c r="B53" s="152" t="s">
        <v>322</v>
      </c>
      <c r="C53" s="152"/>
      <c r="D53" s="118" t="s">
        <v>128</v>
      </c>
      <c r="E53" s="380">
        <v>2.5</v>
      </c>
      <c r="F53" s="380"/>
      <c r="G53" s="118" t="s">
        <v>122</v>
      </c>
      <c r="H53" s="380">
        <v>10</v>
      </c>
      <c r="I53" s="380"/>
      <c r="J53" s="152"/>
      <c r="K53" s="152"/>
      <c r="L53" s="154"/>
      <c r="M53" s="157"/>
      <c r="N53" s="156"/>
      <c r="O53" s="118" t="s">
        <v>74</v>
      </c>
      <c r="P53" s="158">
        <f>ROUND(E53*H53,2)</f>
        <v>25</v>
      </c>
      <c r="Q53" s="118" t="s">
        <v>20</v>
      </c>
      <c r="R53" s="159"/>
    </row>
    <row r="54" spans="1:22" ht="21.6" customHeight="1">
      <c r="A54" s="152"/>
      <c r="B54" s="152" t="s">
        <v>130</v>
      </c>
      <c r="C54" s="152"/>
      <c r="D54" s="118" t="s">
        <v>128</v>
      </c>
      <c r="E54" s="380">
        <v>5</v>
      </c>
      <c r="F54" s="380"/>
      <c r="G54" s="118" t="s">
        <v>122</v>
      </c>
      <c r="H54" s="380">
        <v>215</v>
      </c>
      <c r="I54" s="380"/>
      <c r="J54" s="118" t="s">
        <v>122</v>
      </c>
      <c r="K54" s="374">
        <f>M52/100</f>
        <v>0.15</v>
      </c>
      <c r="L54" s="374"/>
      <c r="M54" s="152"/>
      <c r="N54" s="152"/>
      <c r="O54" s="118" t="s">
        <v>74</v>
      </c>
      <c r="P54" s="158">
        <f>ROUND(E54*H54*K54,2)</f>
        <v>161.25</v>
      </c>
      <c r="Q54" s="118" t="s">
        <v>18</v>
      </c>
      <c r="R54" s="159"/>
    </row>
    <row r="55" spans="1:22" ht="21.6" customHeight="1">
      <c r="A55" s="152"/>
      <c r="B55" s="152" t="s">
        <v>127</v>
      </c>
      <c r="C55" s="152"/>
      <c r="D55" s="118" t="s">
        <v>128</v>
      </c>
      <c r="E55" s="377">
        <v>150000</v>
      </c>
      <c r="F55" s="377"/>
      <c r="G55" s="118" t="s">
        <v>87</v>
      </c>
      <c r="H55" s="377">
        <v>0</v>
      </c>
      <c r="I55" s="377"/>
      <c r="J55" s="152" t="s">
        <v>18</v>
      </c>
      <c r="K55" s="152"/>
      <c r="L55" s="152"/>
      <c r="M55" s="152"/>
      <c r="N55" s="152"/>
      <c r="O55" s="118" t="s">
        <v>74</v>
      </c>
      <c r="P55" s="158">
        <v>0</v>
      </c>
      <c r="Q55" s="118" t="s">
        <v>123</v>
      </c>
    </row>
    <row r="56" spans="1:22" ht="21.6" customHeight="1">
      <c r="A56" s="152"/>
      <c r="B56" s="152" t="s">
        <v>280</v>
      </c>
      <c r="C56" s="152"/>
      <c r="D56" s="118" t="s">
        <v>128</v>
      </c>
      <c r="E56" s="375">
        <f>'1.ค่าวัสดุและดำเนินการ'!K12</f>
        <v>2140.19</v>
      </c>
      <c r="F56" s="375"/>
      <c r="G56" s="118" t="s">
        <v>279</v>
      </c>
      <c r="H56" s="376">
        <v>0</v>
      </c>
      <c r="I56" s="376"/>
      <c r="J56" s="160"/>
      <c r="K56" s="152"/>
      <c r="L56" s="152"/>
      <c r="M56" s="152"/>
      <c r="N56" s="152"/>
      <c r="O56" s="118" t="s">
        <v>74</v>
      </c>
      <c r="P56" s="158">
        <f>ROUND(E56+H56,2)</f>
        <v>2140.19</v>
      </c>
      <c r="Q56" s="118" t="s">
        <v>123</v>
      </c>
      <c r="T56" s="116" t="s">
        <v>321</v>
      </c>
    </row>
    <row r="57" spans="1:22" ht="21.6" customHeight="1">
      <c r="A57" s="152"/>
      <c r="B57" s="152" t="s">
        <v>124</v>
      </c>
      <c r="C57" s="152"/>
      <c r="D57" s="152"/>
      <c r="E57" s="152"/>
      <c r="F57" s="160"/>
      <c r="G57" s="160"/>
      <c r="H57" s="152"/>
      <c r="I57" s="153"/>
      <c r="J57" s="153"/>
      <c r="K57" s="152"/>
      <c r="L57" s="152"/>
      <c r="M57" s="152"/>
      <c r="N57" s="152"/>
      <c r="O57" s="118" t="s">
        <v>74</v>
      </c>
      <c r="P57" s="161">
        <f>P53</f>
        <v>25</v>
      </c>
      <c r="Q57" s="118" t="s">
        <v>20</v>
      </c>
      <c r="T57" s="162" t="s">
        <v>284</v>
      </c>
      <c r="U57" s="163" t="s">
        <v>285</v>
      </c>
    </row>
    <row r="58" spans="1:22" ht="21.6" customHeight="1">
      <c r="A58" s="152"/>
      <c r="B58" s="152" t="s">
        <v>129</v>
      </c>
      <c r="C58" s="152"/>
      <c r="D58" s="118" t="s">
        <v>128</v>
      </c>
      <c r="E58" s="372">
        <f>P57</f>
        <v>25</v>
      </c>
      <c r="F58" s="372"/>
      <c r="G58" s="118" t="s">
        <v>122</v>
      </c>
      <c r="H58" s="372">
        <f>M52</f>
        <v>15</v>
      </c>
      <c r="I58" s="372"/>
      <c r="J58" s="118" t="s">
        <v>131</v>
      </c>
      <c r="K58" s="152"/>
      <c r="L58" s="152"/>
      <c r="M58" s="152"/>
      <c r="N58" s="152"/>
      <c r="O58" s="118" t="s">
        <v>74</v>
      </c>
      <c r="P58" s="158">
        <f>ROUND(E58*(H58/100),2)</f>
        <v>3.75</v>
      </c>
      <c r="Q58" s="118" t="s">
        <v>18</v>
      </c>
      <c r="T58" s="116">
        <v>0.3</v>
      </c>
      <c r="U58" s="116">
        <v>0.3</v>
      </c>
    </row>
    <row r="59" spans="1:22" ht="21.6" customHeight="1">
      <c r="A59" s="152"/>
      <c r="B59" s="152" t="s">
        <v>280</v>
      </c>
      <c r="C59" s="152"/>
      <c r="D59" s="118" t="s">
        <v>128</v>
      </c>
      <c r="E59" s="375">
        <f>P58</f>
        <v>3.75</v>
      </c>
      <c r="F59" s="375"/>
      <c r="G59" s="118" t="s">
        <v>73</v>
      </c>
      <c r="H59" s="375">
        <f>P56</f>
        <v>2140.19</v>
      </c>
      <c r="I59" s="375"/>
      <c r="J59" s="118" t="s">
        <v>17</v>
      </c>
      <c r="K59" s="152"/>
      <c r="L59" s="152"/>
      <c r="M59" s="152"/>
      <c r="N59" s="152"/>
      <c r="O59" s="118" t="s">
        <v>74</v>
      </c>
      <c r="P59" s="158">
        <f>ROUND(E59*H59,2)</f>
        <v>8025.71</v>
      </c>
      <c r="Q59" s="118" t="s">
        <v>17</v>
      </c>
      <c r="T59" s="164">
        <f>ROUNDDOWN(E53/T58,0)</f>
        <v>8</v>
      </c>
      <c r="U59" s="164">
        <f>ROUNDDOWN(H53/U58,0)</f>
        <v>33</v>
      </c>
      <c r="V59" s="116" t="s">
        <v>161</v>
      </c>
    </row>
    <row r="60" spans="1:22" ht="21.6" customHeight="1">
      <c r="A60" s="152"/>
      <c r="B60" s="152" t="s">
        <v>76</v>
      </c>
      <c r="C60" s="152"/>
      <c r="D60" s="118" t="s">
        <v>128</v>
      </c>
      <c r="E60" s="165">
        <v>0</v>
      </c>
      <c r="F60" s="166" t="s">
        <v>167</v>
      </c>
      <c r="G60" s="379">
        <v>0</v>
      </c>
      <c r="H60" s="379"/>
      <c r="I60" s="118" t="s">
        <v>224</v>
      </c>
      <c r="J60" s="381">
        <f>P58</f>
        <v>3.75</v>
      </c>
      <c r="K60" s="381"/>
      <c r="L60" s="118" t="s">
        <v>18</v>
      </c>
      <c r="M60" s="167"/>
      <c r="N60" s="167"/>
      <c r="O60" s="118" t="s">
        <v>74</v>
      </c>
      <c r="P60" s="158">
        <f>ROUND(E60*G60*J60,2)</f>
        <v>0</v>
      </c>
      <c r="Q60" s="118" t="s">
        <v>17</v>
      </c>
      <c r="T60" s="164">
        <f>ROUND(((T59+1)*H53*0.499),2)</f>
        <v>44.91</v>
      </c>
      <c r="U60" s="164">
        <f>ROUND(((U59+1)*E53*0.222),2)</f>
        <v>18.87</v>
      </c>
    </row>
    <row r="61" spans="1:22" ht="21.6" customHeight="1">
      <c r="A61" s="152"/>
      <c r="B61" s="152" t="s">
        <v>283</v>
      </c>
      <c r="C61" s="162" t="s">
        <v>285</v>
      </c>
      <c r="D61" s="118" t="s">
        <v>128</v>
      </c>
      <c r="E61" s="375">
        <f>U60</f>
        <v>18.87</v>
      </c>
      <c r="F61" s="372"/>
      <c r="G61" s="168" t="s">
        <v>245</v>
      </c>
      <c r="H61" s="378">
        <f>'1.ค่าวัสดุและดำเนินการ'!K13</f>
        <v>30687.41</v>
      </c>
      <c r="I61" s="378"/>
      <c r="J61" s="118" t="s">
        <v>103</v>
      </c>
      <c r="K61" s="152"/>
      <c r="L61" s="118" t="s">
        <v>246</v>
      </c>
      <c r="M61" s="152"/>
      <c r="N61" s="152"/>
      <c r="O61" s="118" t="s">
        <v>74</v>
      </c>
      <c r="P61" s="158">
        <f>ROUND((H61/1000)*E61,2)</f>
        <v>579.07000000000005</v>
      </c>
      <c r="Q61" s="118" t="s">
        <v>17</v>
      </c>
    </row>
    <row r="62" spans="1:22" ht="21.6" customHeight="1">
      <c r="A62" s="152"/>
      <c r="B62" s="152"/>
      <c r="C62" s="162" t="s">
        <v>284</v>
      </c>
      <c r="D62" s="118" t="s">
        <v>128</v>
      </c>
      <c r="E62" s="375">
        <f>T60</f>
        <v>44.91</v>
      </c>
      <c r="F62" s="372"/>
      <c r="G62" s="168" t="s">
        <v>245</v>
      </c>
      <c r="H62" s="378">
        <f>'1.ค่าวัสดุและดำเนินการ'!K14</f>
        <v>29294.07</v>
      </c>
      <c r="I62" s="378"/>
      <c r="J62" s="118" t="s">
        <v>103</v>
      </c>
      <c r="K62" s="152"/>
      <c r="L62" s="118" t="s">
        <v>246</v>
      </c>
      <c r="M62" s="152"/>
      <c r="N62" s="152"/>
      <c r="O62" s="118" t="s">
        <v>74</v>
      </c>
      <c r="P62" s="158">
        <f>ROUND((H62/1000)*E62,2)</f>
        <v>1315.6</v>
      </c>
      <c r="Q62" s="118" t="s">
        <v>17</v>
      </c>
      <c r="T62" s="164"/>
    </row>
    <row r="63" spans="1:22" ht="21.6" customHeight="1">
      <c r="A63" s="152"/>
      <c r="B63" s="152" t="s">
        <v>211</v>
      </c>
      <c r="C63" s="152"/>
      <c r="D63" s="118" t="s">
        <v>128</v>
      </c>
      <c r="E63" s="375">
        <f>ROUND((E61+E62)*(25/1000),2)</f>
        <v>1.59</v>
      </c>
      <c r="F63" s="372"/>
      <c r="G63" s="168" t="s">
        <v>245</v>
      </c>
      <c r="H63" s="373">
        <f>'1.ค่าวัสดุและดำเนินการ'!K18</f>
        <v>46.1</v>
      </c>
      <c r="I63" s="373"/>
      <c r="J63" s="118" t="s">
        <v>248</v>
      </c>
      <c r="K63" s="152"/>
      <c r="L63" s="118"/>
      <c r="M63" s="152"/>
      <c r="N63" s="152"/>
      <c r="O63" s="118" t="s">
        <v>74</v>
      </c>
      <c r="P63" s="158">
        <f>ROUND(H63*E63,2)</f>
        <v>73.3</v>
      </c>
      <c r="Q63" s="118" t="s">
        <v>17</v>
      </c>
    </row>
    <row r="64" spans="1:22" ht="21.6" customHeight="1">
      <c r="A64" s="152"/>
      <c r="B64" s="152" t="s">
        <v>125</v>
      </c>
      <c r="C64" s="152" t="s">
        <v>325</v>
      </c>
      <c r="D64" s="118" t="s">
        <v>128</v>
      </c>
      <c r="E64" s="380">
        <v>20.6</v>
      </c>
      <c r="F64" s="380"/>
      <c r="G64" s="118" t="s">
        <v>132</v>
      </c>
      <c r="H64" s="373">
        <f>H53</f>
        <v>10</v>
      </c>
      <c r="I64" s="373"/>
      <c r="J64" s="118" t="s">
        <v>31</v>
      </c>
      <c r="K64" s="152"/>
      <c r="L64" s="152"/>
      <c r="M64" s="118"/>
      <c r="N64" s="152"/>
      <c r="O64" s="118" t="s">
        <v>74</v>
      </c>
      <c r="P64" s="158">
        <f t="shared" ref="P64:P67" si="0">ROUND(E64*H64,2)</f>
        <v>206</v>
      </c>
      <c r="Q64" s="118" t="s">
        <v>17</v>
      </c>
      <c r="R64" s="159"/>
    </row>
    <row r="65" spans="1:21" ht="21.6" customHeight="1">
      <c r="A65" s="152"/>
      <c r="B65" s="152" t="s">
        <v>247</v>
      </c>
      <c r="C65" s="152"/>
      <c r="D65" s="118" t="s">
        <v>128</v>
      </c>
      <c r="E65" s="380">
        <v>12.21</v>
      </c>
      <c r="F65" s="380"/>
      <c r="G65" s="118" t="s">
        <v>132</v>
      </c>
      <c r="H65" s="373">
        <f>P57</f>
        <v>25</v>
      </c>
      <c r="I65" s="373"/>
      <c r="J65" s="118" t="s">
        <v>20</v>
      </c>
      <c r="K65" s="152"/>
      <c r="L65" s="152"/>
      <c r="M65" s="152"/>
      <c r="N65" s="152"/>
      <c r="O65" s="118" t="s">
        <v>74</v>
      </c>
      <c r="P65" s="158">
        <f t="shared" si="0"/>
        <v>305.25</v>
      </c>
      <c r="Q65" s="118" t="s">
        <v>17</v>
      </c>
      <c r="T65" s="336"/>
      <c r="U65" s="336"/>
    </row>
    <row r="66" spans="1:21" ht="21.6" customHeight="1">
      <c r="A66" s="152"/>
      <c r="B66" s="152" t="s">
        <v>126</v>
      </c>
      <c r="C66" s="152"/>
      <c r="D66" s="118" t="s">
        <v>128</v>
      </c>
      <c r="E66" s="380">
        <v>9.5399999999999991</v>
      </c>
      <c r="F66" s="380"/>
      <c r="G66" s="118" t="s">
        <v>132</v>
      </c>
      <c r="H66" s="373">
        <f>P57</f>
        <v>25</v>
      </c>
      <c r="I66" s="373"/>
      <c r="J66" s="118" t="s">
        <v>20</v>
      </c>
      <c r="K66" s="152"/>
      <c r="L66" s="152"/>
      <c r="M66" s="152"/>
      <c r="N66" s="118"/>
      <c r="O66" s="118" t="s">
        <v>74</v>
      </c>
      <c r="P66" s="158">
        <f t="shared" si="0"/>
        <v>238.5</v>
      </c>
      <c r="Q66" s="118" t="s">
        <v>17</v>
      </c>
      <c r="T66" s="164"/>
      <c r="U66" s="164"/>
    </row>
    <row r="67" spans="1:21" ht="21.6" customHeight="1">
      <c r="A67" s="152"/>
      <c r="B67" s="152" t="s">
        <v>133</v>
      </c>
      <c r="C67" s="152"/>
      <c r="D67" s="118" t="s">
        <v>128</v>
      </c>
      <c r="E67" s="384">
        <v>0</v>
      </c>
      <c r="F67" s="384"/>
      <c r="G67" s="118" t="s">
        <v>132</v>
      </c>
      <c r="H67" s="373">
        <f>P57</f>
        <v>25</v>
      </c>
      <c r="I67" s="373"/>
      <c r="J67" s="118" t="s">
        <v>20</v>
      </c>
      <c r="K67" s="152"/>
      <c r="L67" s="152"/>
      <c r="M67" s="152"/>
      <c r="N67" s="118"/>
      <c r="O67" s="118" t="s">
        <v>74</v>
      </c>
      <c r="P67" s="158">
        <f t="shared" si="0"/>
        <v>0</v>
      </c>
      <c r="Q67" s="118" t="s">
        <v>17</v>
      </c>
      <c r="T67" s="164"/>
      <c r="U67" s="164"/>
    </row>
    <row r="68" spans="1:21" ht="21.6" customHeight="1">
      <c r="A68" s="152"/>
      <c r="B68" s="152" t="s">
        <v>78</v>
      </c>
      <c r="C68" s="152"/>
      <c r="D68" s="152"/>
      <c r="E68" s="169"/>
      <c r="F68" s="152"/>
      <c r="G68" s="152"/>
      <c r="H68" s="152"/>
      <c r="I68" s="152"/>
      <c r="J68" s="152"/>
      <c r="K68" s="152"/>
      <c r="L68" s="152"/>
      <c r="M68" s="152"/>
      <c r="N68" s="152"/>
      <c r="O68" s="118" t="s">
        <v>74</v>
      </c>
      <c r="P68" s="170">
        <f>ROUND((SUM(P59:P67)),2)</f>
        <v>10743.43</v>
      </c>
      <c r="Q68" s="118" t="s">
        <v>17</v>
      </c>
      <c r="T68" s="164"/>
    </row>
    <row r="69" spans="1:21" ht="21.6" customHeight="1">
      <c r="A69" s="152"/>
      <c r="B69" s="162" t="s">
        <v>79</v>
      </c>
      <c r="C69" s="152"/>
      <c r="D69" s="118" t="s">
        <v>128</v>
      </c>
      <c r="E69" s="372">
        <f>P68</f>
        <v>10743.43</v>
      </c>
      <c r="F69" s="372"/>
      <c r="G69" s="118" t="s">
        <v>87</v>
      </c>
      <c r="H69" s="373">
        <f>P57</f>
        <v>25</v>
      </c>
      <c r="I69" s="373"/>
      <c r="J69" s="160"/>
      <c r="K69" s="152"/>
      <c r="L69" s="152"/>
      <c r="M69" s="152"/>
      <c r="N69" s="152"/>
      <c r="O69" s="118" t="s">
        <v>74</v>
      </c>
      <c r="P69" s="171">
        <f>ROUND(E69/H69,2)</f>
        <v>429.74</v>
      </c>
      <c r="Q69" s="118" t="s">
        <v>119</v>
      </c>
    </row>
    <row r="70" spans="1:21" ht="21.6" customHeight="1" thickBot="1">
      <c r="N70" s="163" t="s">
        <v>168</v>
      </c>
      <c r="O70" s="118" t="s">
        <v>74</v>
      </c>
      <c r="P70" s="172">
        <f>ROUNDDOWN(P69,0)</f>
        <v>429</v>
      </c>
      <c r="Q70" s="118" t="s">
        <v>119</v>
      </c>
    </row>
    <row r="71" spans="1:21" ht="21.6" customHeight="1" thickTop="1">
      <c r="B71" s="149" t="s">
        <v>333</v>
      </c>
      <c r="T71" s="336" t="s">
        <v>271</v>
      </c>
      <c r="U71" s="336"/>
    </row>
    <row r="72" spans="1:21" ht="21.6" customHeight="1">
      <c r="B72" s="116" t="s">
        <v>270</v>
      </c>
      <c r="D72" s="173">
        <v>2.5</v>
      </c>
      <c r="E72" s="116" t="s">
        <v>31</v>
      </c>
      <c r="I72" s="174"/>
      <c r="J72" s="174"/>
      <c r="T72" s="164">
        <f>ROUNDDOWN(D72/0.3,0)</f>
        <v>8</v>
      </c>
    </row>
    <row r="73" spans="1:21" ht="21.6" customHeight="1">
      <c r="B73" s="116" t="s">
        <v>352</v>
      </c>
      <c r="E73" s="382">
        <f>T73</f>
        <v>6.26</v>
      </c>
      <c r="F73" s="382"/>
      <c r="G73" s="151" t="s">
        <v>105</v>
      </c>
      <c r="H73" s="151" t="s">
        <v>106</v>
      </c>
      <c r="I73" s="382">
        <f>ROUND('1.ค่าวัสดุและดำเนินการ'!K16/1000,2)</f>
        <v>0</v>
      </c>
      <c r="J73" s="382"/>
      <c r="O73" s="151" t="s">
        <v>74</v>
      </c>
      <c r="P73" s="158">
        <f>ROUND(E73*I73,2)</f>
        <v>0</v>
      </c>
      <c r="Q73" s="116" t="s">
        <v>17</v>
      </c>
      <c r="T73" s="164">
        <f>ROUND(((T72+1)*0.5*1.39),2)</f>
        <v>6.26</v>
      </c>
      <c r="U73" s="116" t="s">
        <v>252</v>
      </c>
    </row>
    <row r="74" spans="1:21" ht="21.6" customHeight="1">
      <c r="B74" s="116" t="s">
        <v>107</v>
      </c>
      <c r="E74" s="382">
        <f>T72+1</f>
        <v>9</v>
      </c>
      <c r="F74" s="382"/>
      <c r="G74" s="151" t="s">
        <v>108</v>
      </c>
      <c r="H74" s="151" t="s">
        <v>106</v>
      </c>
      <c r="I74" s="382">
        <f>'1.ค่าวัสดุและดำเนินการ'!K35+'1.ค่าวัสดุและดำเนินการ'!F39</f>
        <v>9.370000000000001</v>
      </c>
      <c r="J74" s="382"/>
      <c r="O74" s="151" t="s">
        <v>74</v>
      </c>
      <c r="P74" s="158">
        <f>ROUND(I74*E74,2)</f>
        <v>84.33</v>
      </c>
      <c r="Q74" s="116" t="s">
        <v>17</v>
      </c>
    </row>
    <row r="75" spans="1:21" ht="21.6" customHeight="1">
      <c r="B75" s="116" t="s">
        <v>249</v>
      </c>
      <c r="E75" s="385">
        <f>ROUND(D72*0.15,2)</f>
        <v>0.38</v>
      </c>
      <c r="F75" s="385"/>
      <c r="G75" s="151" t="s">
        <v>20</v>
      </c>
      <c r="H75" s="151" t="s">
        <v>106</v>
      </c>
      <c r="I75" s="382">
        <f>'1.ค่าวัสดุและดำเนินการ'!K36</f>
        <v>30</v>
      </c>
      <c r="J75" s="382"/>
      <c r="O75" s="151" t="s">
        <v>74</v>
      </c>
      <c r="P75" s="158">
        <f t="shared" ref="P75:P77" si="1">ROUND(I75*E75,2)</f>
        <v>11.4</v>
      </c>
      <c r="Q75" s="116" t="s">
        <v>17</v>
      </c>
    </row>
    <row r="76" spans="1:21" ht="21.6" customHeight="1">
      <c r="B76" s="116" t="s">
        <v>109</v>
      </c>
      <c r="E76" s="382">
        <f>ROUND(0.025*0.025*D72*1000,2)</f>
        <v>1.56</v>
      </c>
      <c r="F76" s="382"/>
      <c r="G76" s="151" t="s">
        <v>110</v>
      </c>
      <c r="H76" s="151" t="s">
        <v>106</v>
      </c>
      <c r="I76" s="382">
        <f>'1.ค่าวัสดุและดำเนินการ'!K37</f>
        <v>25</v>
      </c>
      <c r="J76" s="382"/>
      <c r="O76" s="151" t="s">
        <v>74</v>
      </c>
      <c r="P76" s="158">
        <f t="shared" si="1"/>
        <v>39</v>
      </c>
      <c r="Q76" s="116" t="s">
        <v>17</v>
      </c>
    </row>
    <row r="77" spans="1:21" ht="21.6" customHeight="1">
      <c r="B77" s="116" t="s">
        <v>111</v>
      </c>
      <c r="E77" s="382">
        <f>D72</f>
        <v>2.5</v>
      </c>
      <c r="F77" s="382"/>
      <c r="G77" s="151" t="s">
        <v>112</v>
      </c>
      <c r="H77" s="151" t="s">
        <v>106</v>
      </c>
      <c r="I77" s="387">
        <v>14.99</v>
      </c>
      <c r="J77" s="387"/>
      <c r="O77" s="151" t="s">
        <v>74</v>
      </c>
      <c r="P77" s="158">
        <f t="shared" si="1"/>
        <v>37.479999999999997</v>
      </c>
      <c r="Q77" s="116" t="s">
        <v>17</v>
      </c>
    </row>
    <row r="78" spans="1:21" ht="21.6" customHeight="1">
      <c r="B78" s="116" t="s">
        <v>113</v>
      </c>
      <c r="E78" s="382">
        <f>D72</f>
        <v>2.5</v>
      </c>
      <c r="F78" s="382"/>
      <c r="G78" s="151" t="s">
        <v>112</v>
      </c>
      <c r="H78" s="151" t="s">
        <v>106</v>
      </c>
      <c r="I78" s="382">
        <f>'1.ค่าวัสดุและดำเนินการ'!K38</f>
        <v>10.5</v>
      </c>
      <c r="J78" s="382"/>
      <c r="O78" s="151" t="s">
        <v>74</v>
      </c>
      <c r="P78" s="158">
        <f>ROUND(I78*E78,2)</f>
        <v>26.25</v>
      </c>
      <c r="Q78" s="116" t="s">
        <v>17</v>
      </c>
    </row>
    <row r="79" spans="1:21" ht="21.6" customHeight="1">
      <c r="B79" s="116" t="s">
        <v>114</v>
      </c>
      <c r="E79" s="385">
        <f>ROUND(D72*0.15,2)</f>
        <v>0.38</v>
      </c>
      <c r="F79" s="385"/>
      <c r="G79" s="151" t="s">
        <v>20</v>
      </c>
      <c r="H79" s="151" t="s">
        <v>106</v>
      </c>
      <c r="I79" s="382">
        <f>แบบหล่อคอนกรีต!G24</f>
        <v>411</v>
      </c>
      <c r="J79" s="382"/>
      <c r="O79" s="151" t="s">
        <v>74</v>
      </c>
      <c r="P79" s="158">
        <f>ROUND(I79*E79,2)</f>
        <v>156.18</v>
      </c>
      <c r="Q79" s="116" t="s">
        <v>17</v>
      </c>
    </row>
    <row r="80" spans="1:21" ht="21.6" customHeight="1">
      <c r="B80" s="116" t="s">
        <v>78</v>
      </c>
      <c r="O80" s="151" t="s">
        <v>74</v>
      </c>
      <c r="P80" s="175">
        <f>ROUND(SUM(P73:P79),2)</f>
        <v>354.64</v>
      </c>
      <c r="Q80" s="116" t="s">
        <v>17</v>
      </c>
    </row>
    <row r="81" spans="2:21" ht="21.6" customHeight="1">
      <c r="B81" s="120" t="s">
        <v>79</v>
      </c>
      <c r="E81" s="386">
        <f>P80</f>
        <v>354.64</v>
      </c>
      <c r="F81" s="386"/>
      <c r="G81" s="116" t="s">
        <v>250</v>
      </c>
      <c r="H81" s="336">
        <f>D72</f>
        <v>2.5</v>
      </c>
      <c r="I81" s="336"/>
      <c r="O81" s="151" t="s">
        <v>74</v>
      </c>
      <c r="P81" s="171">
        <f>ROUND(E81/H81,2)</f>
        <v>141.86000000000001</v>
      </c>
      <c r="Q81" s="116" t="s">
        <v>104</v>
      </c>
    </row>
    <row r="82" spans="2:21" ht="21.6" customHeight="1" thickBot="1">
      <c r="B82" s="120"/>
      <c r="E82" s="176"/>
      <c r="F82" s="176"/>
      <c r="H82" s="151"/>
      <c r="I82" s="151"/>
      <c r="N82" s="163" t="s">
        <v>168</v>
      </c>
      <c r="O82" s="118" t="s">
        <v>74</v>
      </c>
      <c r="P82" s="172">
        <f>ROUNDDOWN(E81/H81,0)</f>
        <v>141</v>
      </c>
      <c r="Q82" s="116" t="s">
        <v>104</v>
      </c>
    </row>
    <row r="83" spans="2:21" ht="21.6" customHeight="1" thickTop="1">
      <c r="B83" s="149" t="s">
        <v>334</v>
      </c>
      <c r="P83" s="177"/>
      <c r="T83" s="336" t="s">
        <v>271</v>
      </c>
      <c r="U83" s="336"/>
    </row>
    <row r="84" spans="2:21" ht="21.6" customHeight="1">
      <c r="B84" s="116" t="s">
        <v>272</v>
      </c>
      <c r="D84" s="173">
        <v>2.5</v>
      </c>
      <c r="E84" s="116" t="s">
        <v>31</v>
      </c>
      <c r="P84" s="177"/>
      <c r="T84" s="164">
        <f>ROUNDDOWN(D84/0.3,0)</f>
        <v>8</v>
      </c>
    </row>
    <row r="85" spans="2:21" ht="21.6" customHeight="1">
      <c r="B85" s="116" t="s">
        <v>352</v>
      </c>
      <c r="E85" s="382">
        <f>T85</f>
        <v>6.26</v>
      </c>
      <c r="F85" s="382"/>
      <c r="G85" s="151" t="s">
        <v>105</v>
      </c>
      <c r="H85" s="151" t="s">
        <v>106</v>
      </c>
      <c r="I85" s="382">
        <f>ROUND('1.ค่าวัสดุและดำเนินการ'!K16/1000,2)</f>
        <v>0</v>
      </c>
      <c r="J85" s="382"/>
      <c r="O85" s="151" t="s">
        <v>74</v>
      </c>
      <c r="P85" s="158">
        <f>ROUND(E85*I85,2)</f>
        <v>0</v>
      </c>
      <c r="Q85" s="116" t="s">
        <v>17</v>
      </c>
      <c r="T85" s="164">
        <f>ROUND(((T84+1)*0.5*1.39),2)</f>
        <v>6.26</v>
      </c>
      <c r="U85" s="116" t="s">
        <v>252</v>
      </c>
    </row>
    <row r="86" spans="2:21" ht="21.6" customHeight="1">
      <c r="B86" s="116" t="s">
        <v>115</v>
      </c>
      <c r="E86" s="382">
        <f>D84</f>
        <v>2.5</v>
      </c>
      <c r="F86" s="382"/>
      <c r="G86" s="151" t="s">
        <v>31</v>
      </c>
      <c r="H86" s="151" t="s">
        <v>106</v>
      </c>
      <c r="I86" s="387">
        <v>14.99</v>
      </c>
      <c r="J86" s="387"/>
      <c r="O86" s="151" t="s">
        <v>74</v>
      </c>
      <c r="P86" s="158">
        <f t="shared" ref="P86:P88" si="2">ROUND(E86*I86,2)</f>
        <v>37.479999999999997</v>
      </c>
      <c r="Q86" s="116" t="s">
        <v>17</v>
      </c>
    </row>
    <row r="87" spans="2:21" ht="21.6" customHeight="1">
      <c r="B87" s="116" t="s">
        <v>116</v>
      </c>
      <c r="D87" s="116" t="s">
        <v>273</v>
      </c>
      <c r="E87" s="382">
        <f>T84+1</f>
        <v>9</v>
      </c>
      <c r="F87" s="382"/>
      <c r="G87" s="151" t="s">
        <v>108</v>
      </c>
      <c r="H87" s="151" t="s">
        <v>106</v>
      </c>
      <c r="I87" s="388">
        <f>'1.ค่าวัสดุและดำเนินการ'!F35</f>
        <v>3</v>
      </c>
      <c r="J87" s="388"/>
      <c r="O87" s="151" t="s">
        <v>74</v>
      </c>
      <c r="P87" s="158">
        <f t="shared" si="2"/>
        <v>27</v>
      </c>
      <c r="Q87" s="116" t="s">
        <v>17</v>
      </c>
    </row>
    <row r="88" spans="2:21" ht="21.6" customHeight="1">
      <c r="B88" s="116" t="s">
        <v>117</v>
      </c>
      <c r="E88" s="382">
        <v>0.9</v>
      </c>
      <c r="F88" s="382"/>
      <c r="G88" s="151" t="s">
        <v>110</v>
      </c>
      <c r="H88" s="151" t="s">
        <v>106</v>
      </c>
      <c r="I88" s="382">
        <f>'1.ค่าวัสดุและดำเนินการ'!K37</f>
        <v>25</v>
      </c>
      <c r="J88" s="382"/>
      <c r="O88" s="151" t="s">
        <v>74</v>
      </c>
      <c r="P88" s="158">
        <f t="shared" si="2"/>
        <v>22.5</v>
      </c>
      <c r="Q88" s="116" t="s">
        <v>17</v>
      </c>
    </row>
    <row r="89" spans="2:21" ht="21.6" customHeight="1">
      <c r="B89" s="116" t="s">
        <v>113</v>
      </c>
      <c r="E89" s="382">
        <f>D84</f>
        <v>2.5</v>
      </c>
      <c r="F89" s="382"/>
      <c r="G89" s="151" t="s">
        <v>112</v>
      </c>
      <c r="H89" s="151" t="s">
        <v>106</v>
      </c>
      <c r="I89" s="382">
        <f>'1.ค่าวัสดุและดำเนินการ'!K38</f>
        <v>10.5</v>
      </c>
      <c r="J89" s="382"/>
      <c r="O89" s="151" t="s">
        <v>74</v>
      </c>
      <c r="P89" s="158">
        <f>ROUND(I89*E89,2)</f>
        <v>26.25</v>
      </c>
      <c r="Q89" s="116" t="s">
        <v>17</v>
      </c>
    </row>
    <row r="90" spans="2:21" ht="21.6" customHeight="1">
      <c r="B90" s="116" t="s">
        <v>78</v>
      </c>
      <c r="O90" s="151" t="s">
        <v>74</v>
      </c>
      <c r="P90" s="178">
        <f>ROUND(SUM(P85:P89),2)</f>
        <v>113.23</v>
      </c>
      <c r="Q90" s="116" t="s">
        <v>275</v>
      </c>
    </row>
    <row r="91" spans="2:21" ht="21.6" customHeight="1">
      <c r="B91" s="120" t="s">
        <v>79</v>
      </c>
      <c r="E91" s="386">
        <f>P90</f>
        <v>113.23</v>
      </c>
      <c r="F91" s="386"/>
      <c r="G91" s="116" t="s">
        <v>250</v>
      </c>
      <c r="H91" s="336">
        <f>D84</f>
        <v>2.5</v>
      </c>
      <c r="I91" s="336"/>
      <c r="O91" s="151" t="s">
        <v>74</v>
      </c>
      <c r="P91" s="171">
        <f>ROUND(E91/H91,2)</f>
        <v>45.29</v>
      </c>
      <c r="Q91" s="116" t="s">
        <v>104</v>
      </c>
    </row>
    <row r="92" spans="2:21" ht="21.6" customHeight="1" thickBot="1">
      <c r="B92" s="120"/>
      <c r="E92" s="176"/>
      <c r="F92" s="176"/>
      <c r="H92" s="151"/>
      <c r="I92" s="151"/>
      <c r="N92" s="163" t="s">
        <v>168</v>
      </c>
      <c r="O92" s="118" t="s">
        <v>74</v>
      </c>
      <c r="P92" s="172">
        <f>ROUNDDOWN(E91/H91,0)</f>
        <v>45</v>
      </c>
      <c r="Q92" s="116" t="s">
        <v>104</v>
      </c>
    </row>
    <row r="93" spans="2:21" ht="21.6" customHeight="1" thickTop="1">
      <c r="B93" s="149" t="s">
        <v>335</v>
      </c>
      <c r="P93" s="177"/>
      <c r="T93" s="336" t="s">
        <v>271</v>
      </c>
      <c r="U93" s="336"/>
    </row>
    <row r="94" spans="2:21" ht="21.6" customHeight="1">
      <c r="B94" s="116" t="s">
        <v>272</v>
      </c>
      <c r="D94" s="179">
        <v>10</v>
      </c>
      <c r="E94" s="116" t="s">
        <v>31</v>
      </c>
      <c r="P94" s="177"/>
      <c r="T94" s="164">
        <f>ROUNDDOWN(D94/0.5,0)</f>
        <v>20</v>
      </c>
    </row>
    <row r="95" spans="2:21" ht="21.6" customHeight="1">
      <c r="B95" s="116" t="s">
        <v>276</v>
      </c>
      <c r="E95" s="382">
        <f>T95</f>
        <v>9.32</v>
      </c>
      <c r="F95" s="382"/>
      <c r="G95" s="151" t="s">
        <v>105</v>
      </c>
      <c r="H95" s="151" t="s">
        <v>106</v>
      </c>
      <c r="I95" s="382">
        <f>ROUND('1.ค่าวัสดุและดำเนินการ'!K17/1000,2)</f>
        <v>27.25</v>
      </c>
      <c r="J95" s="382"/>
      <c r="O95" s="151" t="s">
        <v>74</v>
      </c>
      <c r="P95" s="158">
        <f>ROUND(E95*I95,2)</f>
        <v>253.97</v>
      </c>
      <c r="Q95" s="116" t="s">
        <v>17</v>
      </c>
      <c r="T95" s="164">
        <f>ROUND(((T94+1)*0.5*0.888),2)</f>
        <v>9.32</v>
      </c>
      <c r="U95" s="116" t="s">
        <v>252</v>
      </c>
    </row>
    <row r="96" spans="2:21" ht="21.6" customHeight="1">
      <c r="B96" s="116" t="s">
        <v>115</v>
      </c>
      <c r="E96" s="382">
        <f>D94</f>
        <v>10</v>
      </c>
      <c r="F96" s="382"/>
      <c r="G96" s="151" t="s">
        <v>31</v>
      </c>
      <c r="H96" s="151" t="s">
        <v>106</v>
      </c>
      <c r="I96" s="387">
        <v>14.99</v>
      </c>
      <c r="J96" s="387"/>
      <c r="O96" s="151" t="s">
        <v>74</v>
      </c>
      <c r="P96" s="158">
        <f>ROUND(E96*I96,2)</f>
        <v>149.9</v>
      </c>
      <c r="Q96" s="116" t="s">
        <v>17</v>
      </c>
    </row>
    <row r="97" spans="2:17" ht="21.6" customHeight="1">
      <c r="B97" s="116" t="s">
        <v>117</v>
      </c>
      <c r="D97" s="116" t="s">
        <v>273</v>
      </c>
      <c r="E97" s="382">
        <v>3.8</v>
      </c>
      <c r="F97" s="382"/>
      <c r="G97" s="151" t="s">
        <v>110</v>
      </c>
      <c r="H97" s="151" t="s">
        <v>106</v>
      </c>
      <c r="I97" s="382">
        <f>'1.ค่าวัสดุและดำเนินการ'!K37</f>
        <v>25</v>
      </c>
      <c r="J97" s="382"/>
      <c r="O97" s="151" t="s">
        <v>74</v>
      </c>
      <c r="P97" s="158">
        <f>ROUND(E97*I97,2)</f>
        <v>95</v>
      </c>
      <c r="Q97" s="116" t="s">
        <v>17</v>
      </c>
    </row>
    <row r="98" spans="2:17" ht="21.6" customHeight="1">
      <c r="B98" s="116" t="s">
        <v>113</v>
      </c>
      <c r="E98" s="382">
        <f>D94</f>
        <v>10</v>
      </c>
      <c r="F98" s="382"/>
      <c r="G98" s="151" t="s">
        <v>20</v>
      </c>
      <c r="H98" s="151" t="s">
        <v>106</v>
      </c>
      <c r="I98" s="382">
        <f>'1.ค่าวัสดุและดำเนินการ'!K38</f>
        <v>10.5</v>
      </c>
      <c r="J98" s="382"/>
      <c r="O98" s="151" t="s">
        <v>74</v>
      </c>
      <c r="P98" s="158">
        <f t="shared" ref="P98" si="3">ROUND(E98*I98,2)</f>
        <v>105</v>
      </c>
      <c r="Q98" s="116" t="s">
        <v>17</v>
      </c>
    </row>
    <row r="99" spans="2:17" ht="21.6" customHeight="1">
      <c r="B99" s="116" t="s">
        <v>78</v>
      </c>
      <c r="O99" s="151" t="s">
        <v>74</v>
      </c>
      <c r="P99" s="178">
        <f>ROUND(SUM(P95:P98),2)</f>
        <v>603.87</v>
      </c>
      <c r="Q99" s="116" t="s">
        <v>17</v>
      </c>
    </row>
    <row r="100" spans="2:17" ht="21.6" customHeight="1">
      <c r="B100" s="120" t="s">
        <v>79</v>
      </c>
      <c r="E100" s="386">
        <f>P99</f>
        <v>603.87</v>
      </c>
      <c r="F100" s="386"/>
      <c r="G100" s="116" t="s">
        <v>250</v>
      </c>
      <c r="H100" s="336">
        <f>D94</f>
        <v>10</v>
      </c>
      <c r="I100" s="336"/>
      <c r="O100" s="151" t="s">
        <v>74</v>
      </c>
      <c r="P100" s="171">
        <f>ROUND(E100/H100,2)</f>
        <v>60.39</v>
      </c>
      <c r="Q100" s="116" t="s">
        <v>104</v>
      </c>
    </row>
    <row r="101" spans="2:17" ht="21.6" customHeight="1" thickBot="1">
      <c r="E101" s="176"/>
      <c r="F101" s="176"/>
      <c r="H101" s="151"/>
      <c r="I101" s="151"/>
      <c r="N101" s="163" t="s">
        <v>168</v>
      </c>
      <c r="O101" s="118" t="s">
        <v>74</v>
      </c>
      <c r="P101" s="172">
        <f>ROUNDDOWN(E100/H100,0)</f>
        <v>60</v>
      </c>
      <c r="Q101" s="116" t="s">
        <v>104</v>
      </c>
    </row>
    <row r="102" spans="2:17" ht="21.6" customHeight="1" thickTop="1"/>
  </sheetData>
  <mergeCells count="74">
    <mergeCell ref="T93:U93"/>
    <mergeCell ref="E100:F100"/>
    <mergeCell ref="H100:I100"/>
    <mergeCell ref="E97:F97"/>
    <mergeCell ref="I97:J97"/>
    <mergeCell ref="E98:F98"/>
    <mergeCell ref="I98:J98"/>
    <mergeCell ref="E91:F91"/>
    <mergeCell ref="H91:I91"/>
    <mergeCell ref="E95:F95"/>
    <mergeCell ref="I95:J95"/>
    <mergeCell ref="E96:F96"/>
    <mergeCell ref="I96:J96"/>
    <mergeCell ref="E88:F88"/>
    <mergeCell ref="I88:J88"/>
    <mergeCell ref="E86:F86"/>
    <mergeCell ref="I86:J86"/>
    <mergeCell ref="E89:F89"/>
    <mergeCell ref="I89:J89"/>
    <mergeCell ref="E85:F85"/>
    <mergeCell ref="I85:J85"/>
    <mergeCell ref="T83:U83"/>
    <mergeCell ref="E87:F87"/>
    <mergeCell ref="I87:J87"/>
    <mergeCell ref="E79:F79"/>
    <mergeCell ref="I79:J79"/>
    <mergeCell ref="E81:F81"/>
    <mergeCell ref="H81:I81"/>
    <mergeCell ref="T71:U71"/>
    <mergeCell ref="I77:J77"/>
    <mergeCell ref="I78:J78"/>
    <mergeCell ref="E73:F73"/>
    <mergeCell ref="E74:F74"/>
    <mergeCell ref="E75:F75"/>
    <mergeCell ref="E76:F76"/>
    <mergeCell ref="E77:F77"/>
    <mergeCell ref="E78:F78"/>
    <mergeCell ref="I73:J73"/>
    <mergeCell ref="I74:J74"/>
    <mergeCell ref="I75:J75"/>
    <mergeCell ref="D7:E7"/>
    <mergeCell ref="E63:F63"/>
    <mergeCell ref="H63:I63"/>
    <mergeCell ref="E67:F67"/>
    <mergeCell ref="H67:I67"/>
    <mergeCell ref="E64:F64"/>
    <mergeCell ref="H64:I64"/>
    <mergeCell ref="E65:F65"/>
    <mergeCell ref="H65:I65"/>
    <mergeCell ref="E66:F66"/>
    <mergeCell ref="H66:I66"/>
    <mergeCell ref="J60:K60"/>
    <mergeCell ref="E61:F61"/>
    <mergeCell ref="H61:I61"/>
    <mergeCell ref="E53:F53"/>
    <mergeCell ref="I76:J76"/>
    <mergeCell ref="H53:I53"/>
    <mergeCell ref="H59:I59"/>
    <mergeCell ref="T65:U65"/>
    <mergeCell ref="E69:F69"/>
    <mergeCell ref="H69:I69"/>
    <mergeCell ref="K54:L54"/>
    <mergeCell ref="E56:F56"/>
    <mergeCell ref="H56:I56"/>
    <mergeCell ref="E58:F58"/>
    <mergeCell ref="H58:I58"/>
    <mergeCell ref="E55:F55"/>
    <mergeCell ref="H55:I55"/>
    <mergeCell ref="E62:F62"/>
    <mergeCell ref="H62:I62"/>
    <mergeCell ref="G60:H60"/>
    <mergeCell ref="E54:F54"/>
    <mergeCell ref="H54:I54"/>
    <mergeCell ref="E59:F59"/>
  </mergeCells>
  <printOptions horizontalCentered="1"/>
  <pageMargins left="0.59055118110236227" right="0" top="0.59055118110236227" bottom="0" header="0.31496062992125984" footer="0.31496062992125984"/>
  <pageSetup paperSize="9" scale="71" orientation="portrait" r:id="rId1"/>
  <rowBreaks count="2" manualBreakCount="2">
    <brk id="70" max="16383" man="1"/>
    <brk id="101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F46A-66D4-4705-B2FF-B0FCEEE02331}">
  <sheetPr>
    <tabColor rgb="FFFF0000"/>
  </sheetPr>
  <dimension ref="B4:F9"/>
  <sheetViews>
    <sheetView workbookViewId="0">
      <selection activeCell="F11" sqref="F11"/>
    </sheetView>
  </sheetViews>
  <sheetFormatPr defaultRowHeight="14.4"/>
  <cols>
    <col min="4" max="4" width="20.77734375" customWidth="1"/>
    <col min="6" max="6" width="19.33203125" customWidth="1"/>
  </cols>
  <sheetData>
    <row r="4" spans="2:6" ht="24">
      <c r="B4" s="35"/>
      <c r="C4" s="32" t="s">
        <v>327</v>
      </c>
      <c r="D4" s="58">
        <v>1.3592</v>
      </c>
      <c r="F4" s="61"/>
    </row>
    <row r="5" spans="2:6" ht="24">
      <c r="B5" s="1"/>
      <c r="C5" s="32" t="s">
        <v>328</v>
      </c>
      <c r="D5" s="58">
        <v>1.3076000000000001</v>
      </c>
      <c r="F5" s="60"/>
    </row>
    <row r="6" spans="2:6" ht="24">
      <c r="B6" s="36"/>
      <c r="C6" s="32" t="s">
        <v>329</v>
      </c>
      <c r="D6" s="58">
        <v>10000000</v>
      </c>
    </row>
    <row r="7" spans="2:6" ht="24">
      <c r="B7" s="1"/>
      <c r="C7" s="32" t="s">
        <v>330</v>
      </c>
      <c r="D7" s="58">
        <v>5000000</v>
      </c>
    </row>
    <row r="8" spans="2:6" ht="24">
      <c r="B8" s="1"/>
      <c r="C8" s="32" t="s">
        <v>331</v>
      </c>
      <c r="D8" s="58">
        <v>0</v>
      </c>
    </row>
    <row r="9" spans="2:6" ht="24">
      <c r="B9" s="1"/>
      <c r="C9" s="32"/>
      <c r="D9" s="59">
        <f>D4-(((D4-D5)*(D8-D7))/(D6-D7))</f>
        <v>1.4107999999999998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view="pageBreakPreview" zoomScaleSheetLayoutView="100" workbookViewId="0">
      <selection activeCell="T10" sqref="T10"/>
    </sheetView>
  </sheetViews>
  <sheetFormatPr defaultColWidth="9" defaultRowHeight="23.4"/>
  <cols>
    <col min="1" max="12" width="9" style="63"/>
    <col min="13" max="13" width="7.109375" style="63" customWidth="1"/>
    <col min="14" max="14" width="11.109375" style="63" customWidth="1"/>
    <col min="15" max="16384" width="9" style="63"/>
  </cols>
  <sheetData>
    <row r="1" spans="1:17">
      <c r="A1" s="238">
        <v>1</v>
      </c>
      <c r="B1" s="239" t="s">
        <v>71</v>
      </c>
      <c r="C1" s="240"/>
      <c r="D1" s="240"/>
      <c r="E1" s="240"/>
      <c r="F1" s="400">
        <v>0.6</v>
      </c>
      <c r="G1" s="400"/>
      <c r="H1" s="239" t="s">
        <v>251</v>
      </c>
      <c r="I1" s="240"/>
      <c r="J1" s="101"/>
      <c r="K1" s="104"/>
      <c r="L1" s="101"/>
      <c r="M1" s="101"/>
      <c r="N1" s="241"/>
      <c r="O1" s="101"/>
    </row>
    <row r="2" spans="1:17">
      <c r="A2" s="101"/>
      <c r="B2" s="101" t="s">
        <v>72</v>
      </c>
      <c r="C2" s="401">
        <v>0.5</v>
      </c>
      <c r="D2" s="401"/>
      <c r="E2" s="101" t="s">
        <v>73</v>
      </c>
      <c r="F2" s="101"/>
      <c r="G2" s="402">
        <v>22.03</v>
      </c>
      <c r="H2" s="403"/>
      <c r="I2" s="101"/>
      <c r="J2" s="101"/>
      <c r="K2" s="101"/>
      <c r="L2" s="101"/>
      <c r="M2" s="104" t="s">
        <v>74</v>
      </c>
      <c r="N2" s="242">
        <f>ROUND(G2*C2,2)</f>
        <v>11.02</v>
      </c>
      <c r="O2" s="101" t="s">
        <v>75</v>
      </c>
      <c r="Q2" s="243"/>
    </row>
    <row r="3" spans="1:17" ht="24">
      <c r="A3" s="101"/>
      <c r="B3" s="101" t="s">
        <v>303</v>
      </c>
      <c r="C3" s="399">
        <f>'1.ค่าวัสดุและดำเนินการ'!K24</f>
        <v>0</v>
      </c>
      <c r="D3" s="399"/>
      <c r="E3" s="101" t="s">
        <v>223</v>
      </c>
      <c r="F3" s="101"/>
      <c r="G3" s="101"/>
      <c r="H3" s="101"/>
      <c r="I3" s="101"/>
      <c r="J3" s="101"/>
      <c r="K3" s="101"/>
      <c r="L3" s="101"/>
      <c r="M3" s="104" t="s">
        <v>74</v>
      </c>
      <c r="N3" s="241">
        <f>'1.ค่าวัสดุและดำเนินการ'!K24</f>
        <v>0</v>
      </c>
      <c r="O3" s="101" t="s">
        <v>75</v>
      </c>
    </row>
    <row r="4" spans="1:17">
      <c r="A4" s="101"/>
      <c r="B4" s="101" t="s">
        <v>76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4" t="s">
        <v>74</v>
      </c>
      <c r="N4" s="241">
        <f>L15</f>
        <v>94.97</v>
      </c>
      <c r="O4" s="101" t="s">
        <v>75</v>
      </c>
    </row>
    <row r="5" spans="1:17">
      <c r="A5" s="101"/>
      <c r="B5" s="101" t="s">
        <v>216</v>
      </c>
      <c r="C5" s="101"/>
      <c r="D5" s="405">
        <v>0</v>
      </c>
      <c r="E5" s="405"/>
      <c r="F5" s="101" t="s">
        <v>73</v>
      </c>
      <c r="G5" s="407">
        <f>'1.ค่าวัสดุและดำเนินการ'!K20</f>
        <v>542.58000000000004</v>
      </c>
      <c r="H5" s="398"/>
      <c r="I5" s="101"/>
      <c r="J5" s="101"/>
      <c r="K5" s="101"/>
      <c r="L5" s="101"/>
      <c r="M5" s="104" t="s">
        <v>74</v>
      </c>
      <c r="N5" s="242">
        <f>ROUND(D5*G5,2)</f>
        <v>0</v>
      </c>
      <c r="O5" s="101" t="s">
        <v>75</v>
      </c>
    </row>
    <row r="6" spans="1:17">
      <c r="A6" s="101"/>
      <c r="B6" s="101" t="s">
        <v>91</v>
      </c>
      <c r="C6" s="101"/>
      <c r="D6" s="406">
        <v>0</v>
      </c>
      <c r="E6" s="406"/>
      <c r="F6" s="101" t="s">
        <v>73</v>
      </c>
      <c r="G6" s="407">
        <f>คอนกรีต!J10</f>
        <v>1478.26</v>
      </c>
      <c r="H6" s="398"/>
      <c r="I6" s="101"/>
      <c r="J6" s="101"/>
      <c r="K6" s="101"/>
      <c r="L6" s="101"/>
      <c r="M6" s="104" t="s">
        <v>74</v>
      </c>
      <c r="N6" s="242">
        <f>ROUND(D6*G6,2)</f>
        <v>0</v>
      </c>
      <c r="O6" s="101" t="s">
        <v>75</v>
      </c>
    </row>
    <row r="7" spans="1:17">
      <c r="A7" s="101"/>
      <c r="B7" s="101" t="s">
        <v>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4" t="s">
        <v>74</v>
      </c>
      <c r="N7" s="244">
        <f>G23</f>
        <v>345</v>
      </c>
      <c r="O7" s="101" t="s">
        <v>75</v>
      </c>
    </row>
    <row r="8" spans="1:17">
      <c r="A8" s="101"/>
      <c r="B8" s="101" t="s">
        <v>78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4" t="s">
        <v>74</v>
      </c>
      <c r="N8" s="245">
        <f>ROUND(SUM(N2:N7),2)</f>
        <v>450.99</v>
      </c>
      <c r="O8" s="101" t="s">
        <v>75</v>
      </c>
    </row>
    <row r="9" spans="1:17" ht="24" thickBo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228" t="s">
        <v>79</v>
      </c>
      <c r="M9" s="104" t="s">
        <v>74</v>
      </c>
      <c r="N9" s="246">
        <f>ROUNDDOWN(N8,0)</f>
        <v>450</v>
      </c>
      <c r="O9" s="101" t="s">
        <v>75</v>
      </c>
    </row>
    <row r="10" spans="1:17" ht="24" thickTop="1">
      <c r="A10" s="101"/>
      <c r="B10" s="247" t="s">
        <v>13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241"/>
      <c r="O10" s="101"/>
    </row>
    <row r="11" spans="1:17">
      <c r="A11" s="101"/>
      <c r="B11" s="101" t="s">
        <v>80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241"/>
      <c r="O11" s="101"/>
    </row>
    <row r="12" spans="1:17">
      <c r="A12" s="101"/>
      <c r="B12" s="101" t="s">
        <v>81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241"/>
      <c r="O12" s="101"/>
    </row>
    <row r="13" spans="1:17">
      <c r="A13" s="101"/>
      <c r="B13" s="101" t="s">
        <v>82</v>
      </c>
      <c r="C13" s="101"/>
      <c r="D13" s="404">
        <v>58</v>
      </c>
      <c r="E13" s="404"/>
      <c r="F13" s="104" t="s">
        <v>83</v>
      </c>
      <c r="G13" s="404">
        <v>152.26</v>
      </c>
      <c r="H13" s="404"/>
      <c r="I13" s="248" t="s">
        <v>84</v>
      </c>
      <c r="J13" s="101"/>
      <c r="K13" s="104" t="s">
        <v>74</v>
      </c>
      <c r="L13" s="249">
        <f>(G13*13)+300</f>
        <v>2279.38</v>
      </c>
      <c r="M13" s="101" t="s">
        <v>85</v>
      </c>
      <c r="N13" s="241"/>
      <c r="O13" s="101"/>
    </row>
    <row r="14" spans="1:17">
      <c r="A14" s="101"/>
      <c r="B14" s="101"/>
      <c r="C14" s="101"/>
      <c r="D14" s="104"/>
      <c r="E14" s="104"/>
      <c r="F14" s="104"/>
      <c r="G14" s="104"/>
      <c r="H14" s="104"/>
      <c r="I14" s="248"/>
      <c r="J14" s="101"/>
      <c r="K14" s="104"/>
      <c r="L14" s="101"/>
      <c r="M14" s="101"/>
      <c r="N14" s="241"/>
      <c r="O14" s="101"/>
    </row>
    <row r="15" spans="1:17">
      <c r="A15" s="101"/>
      <c r="B15" s="101" t="s">
        <v>86</v>
      </c>
      <c r="C15" s="101"/>
      <c r="D15" s="101"/>
      <c r="E15" s="101"/>
      <c r="F15" s="398">
        <f>+L13</f>
        <v>2279.38</v>
      </c>
      <c r="G15" s="398"/>
      <c r="H15" s="222" t="s">
        <v>87</v>
      </c>
      <c r="I15" s="399">
        <f>D23</f>
        <v>24</v>
      </c>
      <c r="J15" s="398"/>
      <c r="K15" s="104" t="s">
        <v>74</v>
      </c>
      <c r="L15" s="242">
        <f>ROUND(F15/I15,2)</f>
        <v>94.97</v>
      </c>
      <c r="M15" s="101" t="s">
        <v>75</v>
      </c>
      <c r="N15" s="241"/>
      <c r="O15" s="101"/>
    </row>
    <row r="16" spans="1:17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241"/>
      <c r="O16" s="101"/>
    </row>
    <row r="18" spans="2:15">
      <c r="B18" s="397" t="s">
        <v>88</v>
      </c>
      <c r="C18" s="397"/>
      <c r="D18" s="397" t="s">
        <v>89</v>
      </c>
      <c r="E18" s="397"/>
      <c r="F18" s="397"/>
      <c r="G18" s="397" t="s">
        <v>77</v>
      </c>
      <c r="H18" s="397"/>
      <c r="I18" s="397"/>
      <c r="J18" s="397" t="s">
        <v>90</v>
      </c>
      <c r="K18" s="397"/>
      <c r="L18" s="397"/>
      <c r="M18" s="397"/>
      <c r="N18" s="397" t="s">
        <v>91</v>
      </c>
      <c r="O18" s="397"/>
    </row>
    <row r="19" spans="2:15">
      <c r="B19" s="389" t="s">
        <v>92</v>
      </c>
      <c r="C19" s="389"/>
      <c r="D19" s="389" t="s">
        <v>92</v>
      </c>
      <c r="E19" s="389"/>
      <c r="F19" s="389"/>
      <c r="G19" s="389" t="s">
        <v>93</v>
      </c>
      <c r="H19" s="389"/>
      <c r="I19" s="389"/>
      <c r="J19" s="389" t="s">
        <v>94</v>
      </c>
      <c r="K19" s="389"/>
      <c r="L19" s="389"/>
      <c r="M19" s="389"/>
      <c r="N19" s="389" t="s">
        <v>94</v>
      </c>
      <c r="O19" s="389"/>
    </row>
    <row r="20" spans="2:15">
      <c r="B20" s="389" t="s">
        <v>95</v>
      </c>
      <c r="C20" s="389"/>
      <c r="D20" s="389">
        <v>48</v>
      </c>
      <c r="E20" s="389"/>
      <c r="F20" s="389"/>
      <c r="G20" s="390">
        <v>140</v>
      </c>
      <c r="H20" s="390"/>
      <c r="I20" s="390"/>
      <c r="J20" s="391">
        <v>0.126</v>
      </c>
      <c r="K20" s="391"/>
      <c r="L20" s="391"/>
      <c r="M20" s="391"/>
      <c r="N20" s="392">
        <v>0.12</v>
      </c>
      <c r="O20" s="392"/>
    </row>
    <row r="21" spans="2:15">
      <c r="B21" s="389" t="s">
        <v>96</v>
      </c>
      <c r="C21" s="389"/>
      <c r="D21" s="389">
        <v>32</v>
      </c>
      <c r="E21" s="389"/>
      <c r="F21" s="389"/>
      <c r="G21" s="390">
        <v>140</v>
      </c>
      <c r="H21" s="390"/>
      <c r="I21" s="390"/>
      <c r="J21" s="391">
        <v>0.21199999999999999</v>
      </c>
      <c r="K21" s="391"/>
      <c r="L21" s="391"/>
      <c r="M21" s="391"/>
      <c r="N21" s="392">
        <v>0.18</v>
      </c>
      <c r="O21" s="392"/>
    </row>
    <row r="22" spans="2:15">
      <c r="B22" s="389" t="s">
        <v>97</v>
      </c>
      <c r="C22" s="389"/>
      <c r="D22" s="389">
        <v>24</v>
      </c>
      <c r="E22" s="389"/>
      <c r="F22" s="389"/>
      <c r="G22" s="390">
        <v>250</v>
      </c>
      <c r="H22" s="390"/>
      <c r="I22" s="390"/>
      <c r="J22" s="391">
        <v>0.32200000000000001</v>
      </c>
      <c r="K22" s="391"/>
      <c r="L22" s="391"/>
      <c r="M22" s="391"/>
      <c r="N22" s="392">
        <v>0.25</v>
      </c>
      <c r="O22" s="392"/>
    </row>
    <row r="23" spans="2:15">
      <c r="B23" s="389" t="s">
        <v>98</v>
      </c>
      <c r="C23" s="389"/>
      <c r="D23" s="389">
        <v>24</v>
      </c>
      <c r="E23" s="389"/>
      <c r="F23" s="389"/>
      <c r="G23" s="390">
        <v>345</v>
      </c>
      <c r="H23" s="390"/>
      <c r="I23" s="390"/>
      <c r="J23" s="391">
        <v>0.442</v>
      </c>
      <c r="K23" s="391"/>
      <c r="L23" s="391"/>
      <c r="M23" s="391"/>
      <c r="N23" s="392">
        <v>0.32</v>
      </c>
      <c r="O23" s="392"/>
    </row>
    <row r="24" spans="2:15">
      <c r="B24" s="389" t="s">
        <v>99</v>
      </c>
      <c r="C24" s="389"/>
      <c r="D24" s="389">
        <v>18</v>
      </c>
      <c r="E24" s="389"/>
      <c r="F24" s="389"/>
      <c r="G24" s="390">
        <v>421</v>
      </c>
      <c r="H24" s="390"/>
      <c r="I24" s="390"/>
      <c r="J24" s="391">
        <v>0.77</v>
      </c>
      <c r="K24" s="391"/>
      <c r="L24" s="391"/>
      <c r="M24" s="391"/>
      <c r="N24" s="392">
        <v>0.5</v>
      </c>
      <c r="O24" s="392"/>
    </row>
    <row r="25" spans="2:15">
      <c r="B25" s="389" t="s">
        <v>100</v>
      </c>
      <c r="C25" s="389"/>
      <c r="D25" s="389">
        <v>10</v>
      </c>
      <c r="E25" s="389"/>
      <c r="F25" s="389"/>
      <c r="G25" s="390">
        <v>510</v>
      </c>
      <c r="H25" s="390"/>
      <c r="I25" s="390"/>
      <c r="J25" s="391">
        <v>1.169</v>
      </c>
      <c r="K25" s="391"/>
      <c r="L25" s="391"/>
      <c r="M25" s="391"/>
      <c r="N25" s="392">
        <v>0.75</v>
      </c>
      <c r="O25" s="392"/>
    </row>
    <row r="26" spans="2:15">
      <c r="B26" s="389" t="s">
        <v>101</v>
      </c>
      <c r="C26" s="389"/>
      <c r="D26" s="389">
        <v>8</v>
      </c>
      <c r="E26" s="389"/>
      <c r="F26" s="389"/>
      <c r="G26" s="390">
        <v>575</v>
      </c>
      <c r="H26" s="390"/>
      <c r="I26" s="390"/>
      <c r="J26" s="391">
        <v>1.6539999999999999</v>
      </c>
      <c r="K26" s="391"/>
      <c r="L26" s="391"/>
      <c r="M26" s="391"/>
      <c r="N26" s="392">
        <v>1</v>
      </c>
      <c r="O26" s="392"/>
    </row>
    <row r="27" spans="2:15">
      <c r="B27" s="393" t="s">
        <v>102</v>
      </c>
      <c r="C27" s="393"/>
      <c r="D27" s="393">
        <v>5</v>
      </c>
      <c r="E27" s="393"/>
      <c r="F27" s="393"/>
      <c r="G27" s="394">
        <v>638</v>
      </c>
      <c r="H27" s="394"/>
      <c r="I27" s="394"/>
      <c r="J27" s="395">
        <v>2.5419999999999998</v>
      </c>
      <c r="K27" s="395"/>
      <c r="L27" s="395"/>
      <c r="M27" s="395"/>
      <c r="N27" s="396">
        <v>1.45</v>
      </c>
      <c r="O27" s="396"/>
    </row>
  </sheetData>
  <mergeCells count="62">
    <mergeCell ref="F15:G15"/>
    <mergeCell ref="I15:J15"/>
    <mergeCell ref="F1:G1"/>
    <mergeCell ref="C2:D2"/>
    <mergeCell ref="G2:H2"/>
    <mergeCell ref="C3:D3"/>
    <mergeCell ref="D13:E13"/>
    <mergeCell ref="G13:H13"/>
    <mergeCell ref="D5:E5"/>
    <mergeCell ref="D6:E6"/>
    <mergeCell ref="G5:H5"/>
    <mergeCell ref="G6:H6"/>
    <mergeCell ref="B18:C18"/>
    <mergeCell ref="D18:F18"/>
    <mergeCell ref="G18:I18"/>
    <mergeCell ref="J18:M18"/>
    <mergeCell ref="N18:O18"/>
    <mergeCell ref="B19:C19"/>
    <mergeCell ref="D19:F19"/>
    <mergeCell ref="G19:I19"/>
    <mergeCell ref="J19:M19"/>
    <mergeCell ref="N19:O19"/>
    <mergeCell ref="B21:C21"/>
    <mergeCell ref="D21:F21"/>
    <mergeCell ref="G21:I21"/>
    <mergeCell ref="J21:M21"/>
    <mergeCell ref="N21:O21"/>
    <mergeCell ref="B20:C20"/>
    <mergeCell ref="D20:F20"/>
    <mergeCell ref="G20:I20"/>
    <mergeCell ref="J20:M20"/>
    <mergeCell ref="N20:O20"/>
    <mergeCell ref="B23:C23"/>
    <mergeCell ref="D23:F23"/>
    <mergeCell ref="G23:I23"/>
    <mergeCell ref="J23:M23"/>
    <mergeCell ref="N23:O23"/>
    <mergeCell ref="B22:C22"/>
    <mergeCell ref="D22:F22"/>
    <mergeCell ref="G22:I22"/>
    <mergeCell ref="J22:M22"/>
    <mergeCell ref="N22:O22"/>
    <mergeCell ref="B25:C25"/>
    <mergeCell ref="D25:F25"/>
    <mergeCell ref="G25:I25"/>
    <mergeCell ref="J25:M25"/>
    <mergeCell ref="N25:O25"/>
    <mergeCell ref="B24:C24"/>
    <mergeCell ref="D24:F24"/>
    <mergeCell ref="G24:I24"/>
    <mergeCell ref="J24:M24"/>
    <mergeCell ref="N24:O24"/>
    <mergeCell ref="B27:C27"/>
    <mergeCell ref="D27:F27"/>
    <mergeCell ref="G27:I27"/>
    <mergeCell ref="J27:M27"/>
    <mergeCell ref="N27:O27"/>
    <mergeCell ref="B26:C26"/>
    <mergeCell ref="D26:F26"/>
    <mergeCell ref="G26:I26"/>
    <mergeCell ref="J26:M26"/>
    <mergeCell ref="N26:O26"/>
  </mergeCells>
  <printOptions horizontalCentered="1"/>
  <pageMargins left="0.59055118110236227" right="0" top="0.59055118110236227" bottom="0" header="0.31496062992125984" footer="0.31496062992125984"/>
  <pageSetup paperSize="9" scale="6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view="pageBreakPreview" topLeftCell="A13" zoomScaleSheetLayoutView="100" workbookViewId="0">
      <selection activeCell="F17" sqref="F17"/>
    </sheetView>
  </sheetViews>
  <sheetFormatPr defaultColWidth="9" defaultRowHeight="15.6"/>
  <cols>
    <col min="1" max="1" width="4.88671875" style="221" customWidth="1"/>
    <col min="2" max="2" width="17.21875" style="221" customWidth="1"/>
    <col min="3" max="3" width="25.6640625" style="221" customWidth="1"/>
    <col min="4" max="4" width="5.6640625" style="221" customWidth="1"/>
    <col min="5" max="5" width="6.33203125" style="221" customWidth="1"/>
    <col min="6" max="6" width="10.44140625" style="221" customWidth="1"/>
    <col min="7" max="7" width="11.44140625" style="221" customWidth="1"/>
    <col min="8" max="16384" width="9" style="221"/>
  </cols>
  <sheetData>
    <row r="1" spans="1:8" ht="23.4">
      <c r="A1" s="62" t="s">
        <v>21</v>
      </c>
      <c r="B1" s="62"/>
      <c r="C1" s="62" t="s">
        <v>0</v>
      </c>
      <c r="D1" s="62" t="s">
        <v>22</v>
      </c>
      <c r="E1" s="62" t="s">
        <v>1</v>
      </c>
      <c r="F1" s="220" t="s">
        <v>61</v>
      </c>
      <c r="G1" s="62" t="s">
        <v>195</v>
      </c>
      <c r="H1" s="62" t="s">
        <v>13</v>
      </c>
    </row>
    <row r="2" spans="1:8" ht="23.4">
      <c r="A2" s="222">
        <v>1</v>
      </c>
      <c r="B2" s="103" t="s">
        <v>337</v>
      </c>
      <c r="C2" s="101"/>
      <c r="D2" s="223"/>
      <c r="E2" s="104"/>
      <c r="F2" s="224"/>
      <c r="G2" s="101"/>
      <c r="H2" s="104" t="s">
        <v>196</v>
      </c>
    </row>
    <row r="3" spans="1:8" ht="23.4">
      <c r="A3" s="101"/>
      <c r="B3" s="101" t="s">
        <v>198</v>
      </c>
      <c r="C3" s="101"/>
      <c r="D3" s="225">
        <v>1</v>
      </c>
      <c r="E3" s="104" t="s">
        <v>164</v>
      </c>
      <c r="F3" s="226">
        <f>'1.ค่าวัสดุและดำเนินการ'!K26</f>
        <v>1125.22</v>
      </c>
      <c r="G3" s="227">
        <f>D3*F3</f>
        <v>1125.22</v>
      </c>
      <c r="H3" s="104"/>
    </row>
    <row r="4" spans="1:8" ht="23.4">
      <c r="A4" s="101"/>
      <c r="B4" s="101" t="s">
        <v>199</v>
      </c>
      <c r="C4" s="101"/>
      <c r="D4" s="225">
        <v>0.3</v>
      </c>
      <c r="E4" s="104" t="s">
        <v>164</v>
      </c>
      <c r="F4" s="226">
        <f>'1.ค่าวัสดุและดำเนินการ'!K27</f>
        <v>798.11</v>
      </c>
      <c r="G4" s="227">
        <f>D4*F4</f>
        <v>239.43299999999999</v>
      </c>
      <c r="H4" s="222"/>
    </row>
    <row r="5" spans="1:8" ht="23.4">
      <c r="A5" s="101"/>
      <c r="B5" s="101" t="s">
        <v>202</v>
      </c>
      <c r="C5" s="101"/>
      <c r="D5" s="225">
        <v>0.3</v>
      </c>
      <c r="E5" s="104" t="s">
        <v>203</v>
      </c>
      <c r="F5" s="226">
        <f>'1.ค่าวัสดุและดำเนินการ'!K28</f>
        <v>0</v>
      </c>
      <c r="G5" s="227">
        <f>D5*F5</f>
        <v>0</v>
      </c>
      <c r="H5" s="222"/>
    </row>
    <row r="6" spans="1:8" ht="23.4">
      <c r="A6" s="101"/>
      <c r="B6" s="101" t="s">
        <v>200</v>
      </c>
      <c r="C6" s="101"/>
      <c r="D6" s="225">
        <f>D3*25%</f>
        <v>0.25</v>
      </c>
      <c r="E6" s="104" t="s">
        <v>105</v>
      </c>
      <c r="F6" s="226">
        <f>'1.ค่าวัสดุและดำเนินการ'!K29</f>
        <v>0</v>
      </c>
      <c r="G6" s="227">
        <f>D6*F6</f>
        <v>0</v>
      </c>
      <c r="H6" s="222"/>
    </row>
    <row r="7" spans="1:8" ht="23.4">
      <c r="A7" s="101"/>
      <c r="B7" s="101" t="s">
        <v>204</v>
      </c>
      <c r="C7" s="101"/>
      <c r="D7" s="225">
        <v>1</v>
      </c>
      <c r="E7" s="104" t="s">
        <v>20</v>
      </c>
      <c r="F7" s="226">
        <v>0</v>
      </c>
      <c r="G7" s="227">
        <f>D7*F7</f>
        <v>0</v>
      </c>
      <c r="H7" s="222"/>
    </row>
    <row r="8" spans="1:8" ht="23.4">
      <c r="A8" s="101"/>
      <c r="B8" s="101"/>
      <c r="C8" s="228" t="s">
        <v>12</v>
      </c>
      <c r="D8" s="225"/>
      <c r="E8" s="104"/>
      <c r="F8" s="229" t="s">
        <v>128</v>
      </c>
      <c r="G8" s="230">
        <f>ROUND(SUM(G3:G7),2)</f>
        <v>1364.65</v>
      </c>
      <c r="H8" s="222"/>
    </row>
    <row r="9" spans="1:8" ht="23.4">
      <c r="A9" s="101"/>
      <c r="B9" s="101"/>
      <c r="C9" s="228" t="s">
        <v>214</v>
      </c>
      <c r="D9" s="231">
        <v>1</v>
      </c>
      <c r="E9" s="104" t="s">
        <v>20</v>
      </c>
      <c r="F9" s="232" t="s">
        <v>128</v>
      </c>
      <c r="G9" s="233">
        <f>ROUND(G8/4,2)</f>
        <v>341.16</v>
      </c>
      <c r="H9" s="234"/>
    </row>
    <row r="10" spans="1:8" ht="23.4">
      <c r="A10" s="101"/>
      <c r="B10" s="101" t="s">
        <v>197</v>
      </c>
      <c r="C10" s="101"/>
      <c r="D10" s="225">
        <v>1</v>
      </c>
      <c r="E10" s="104" t="s">
        <v>20</v>
      </c>
      <c r="F10" s="229" t="s">
        <v>128</v>
      </c>
      <c r="G10" s="235">
        <v>139</v>
      </c>
      <c r="H10" s="222"/>
    </row>
    <row r="11" spans="1:8" ht="24" thickBot="1">
      <c r="A11" s="62"/>
      <c r="B11" s="62"/>
      <c r="C11" s="236" t="s">
        <v>206</v>
      </c>
      <c r="D11" s="223">
        <v>1</v>
      </c>
      <c r="E11" s="104" t="s">
        <v>20</v>
      </c>
      <c r="F11" s="229" t="s">
        <v>128</v>
      </c>
      <c r="G11" s="237">
        <f>ROUNDDOWN(G9+G10,0)</f>
        <v>480</v>
      </c>
      <c r="H11" s="222" t="s">
        <v>201</v>
      </c>
    </row>
    <row r="12" spans="1:8" ht="16.2" thickTop="1"/>
    <row r="14" spans="1:8" ht="23.4">
      <c r="A14" s="62" t="s">
        <v>21</v>
      </c>
      <c r="B14" s="62"/>
      <c r="C14" s="62" t="s">
        <v>0</v>
      </c>
      <c r="D14" s="62" t="s">
        <v>22</v>
      </c>
      <c r="E14" s="62" t="s">
        <v>1</v>
      </c>
      <c r="F14" s="220" t="s">
        <v>61</v>
      </c>
      <c r="G14" s="62" t="s">
        <v>195</v>
      </c>
      <c r="H14" s="62" t="s">
        <v>13</v>
      </c>
    </row>
    <row r="15" spans="1:8" ht="23.4">
      <c r="A15" s="222">
        <v>2</v>
      </c>
      <c r="B15" s="103" t="s">
        <v>338</v>
      </c>
      <c r="C15" s="101"/>
      <c r="D15" s="223"/>
      <c r="E15" s="104"/>
      <c r="F15" s="224"/>
      <c r="G15" s="101"/>
      <c r="H15" s="104" t="s">
        <v>196</v>
      </c>
    </row>
    <row r="16" spans="1:8" ht="23.4">
      <c r="A16" s="101"/>
      <c r="B16" s="101" t="s">
        <v>198</v>
      </c>
      <c r="C16" s="101"/>
      <c r="D16" s="225">
        <v>1</v>
      </c>
      <c r="E16" s="104" t="s">
        <v>164</v>
      </c>
      <c r="F16" s="226">
        <f>'1.ค่าวัสดุและดำเนินการ'!K26</f>
        <v>1125.22</v>
      </c>
      <c r="G16" s="227">
        <f>D16*F16</f>
        <v>1125.22</v>
      </c>
      <c r="H16" s="104"/>
    </row>
    <row r="17" spans="1:8" ht="23.4">
      <c r="A17" s="101"/>
      <c r="B17" s="101" t="s">
        <v>199</v>
      </c>
      <c r="C17" s="101"/>
      <c r="D17" s="225">
        <v>0.3</v>
      </c>
      <c r="E17" s="104" t="s">
        <v>164</v>
      </c>
      <c r="F17" s="226">
        <f>'1.ค่าวัสดุและดำเนินการ'!K27</f>
        <v>798.11</v>
      </c>
      <c r="G17" s="227">
        <f>D17*F17</f>
        <v>239.43299999999999</v>
      </c>
      <c r="H17" s="222"/>
    </row>
    <row r="18" spans="1:8" ht="23.4">
      <c r="A18" s="101"/>
      <c r="B18" s="101" t="s">
        <v>202</v>
      </c>
      <c r="C18" s="101"/>
      <c r="D18" s="225">
        <v>0.3</v>
      </c>
      <c r="E18" s="104" t="s">
        <v>203</v>
      </c>
      <c r="F18" s="226">
        <f>'1.ค่าวัสดุและดำเนินการ'!K28</f>
        <v>0</v>
      </c>
      <c r="G18" s="227">
        <f>D18*F18</f>
        <v>0</v>
      </c>
      <c r="H18" s="222"/>
    </row>
    <row r="19" spans="1:8" ht="23.4">
      <c r="A19" s="101"/>
      <c r="B19" s="101" t="s">
        <v>200</v>
      </c>
      <c r="C19" s="101"/>
      <c r="D19" s="225">
        <f>D16*25%</f>
        <v>0.25</v>
      </c>
      <c r="E19" s="104" t="s">
        <v>105</v>
      </c>
      <c r="F19" s="226">
        <f>'1.ค่าวัสดุและดำเนินการ'!K29</f>
        <v>0</v>
      </c>
      <c r="G19" s="227">
        <f>D19*F19</f>
        <v>0</v>
      </c>
      <c r="H19" s="222"/>
    </row>
    <row r="20" spans="1:8" ht="23.4">
      <c r="A20" s="101"/>
      <c r="B20" s="101" t="s">
        <v>204</v>
      </c>
      <c r="C20" s="101"/>
      <c r="D20" s="225">
        <v>1</v>
      </c>
      <c r="E20" s="104" t="s">
        <v>20</v>
      </c>
      <c r="F20" s="226">
        <v>0</v>
      </c>
      <c r="G20" s="227">
        <f>D20*F20</f>
        <v>0</v>
      </c>
      <c r="H20" s="222"/>
    </row>
    <row r="21" spans="1:8" ht="23.4">
      <c r="A21" s="101"/>
      <c r="B21" s="101"/>
      <c r="C21" s="228" t="s">
        <v>12</v>
      </c>
      <c r="D21" s="225"/>
      <c r="E21" s="104"/>
      <c r="F21" s="229" t="s">
        <v>128</v>
      </c>
      <c r="G21" s="230">
        <f>ROUND(SUM(G16:G20),2)</f>
        <v>1364.65</v>
      </c>
      <c r="H21" s="222"/>
    </row>
    <row r="22" spans="1:8" ht="23.4">
      <c r="A22" s="101"/>
      <c r="B22" s="101"/>
      <c r="C22" s="228" t="s">
        <v>205</v>
      </c>
      <c r="D22" s="231">
        <v>1</v>
      </c>
      <c r="E22" s="104" t="s">
        <v>20</v>
      </c>
      <c r="F22" s="232" t="s">
        <v>128</v>
      </c>
      <c r="G22" s="233">
        <f>ROUND(G21/5,2)</f>
        <v>272.93</v>
      </c>
      <c r="H22" s="234"/>
    </row>
    <row r="23" spans="1:8" ht="23.4">
      <c r="A23" s="101"/>
      <c r="B23" s="101" t="s">
        <v>197</v>
      </c>
      <c r="C23" s="101"/>
      <c r="D23" s="225">
        <v>1</v>
      </c>
      <c r="E23" s="104" t="s">
        <v>20</v>
      </c>
      <c r="F23" s="229" t="s">
        <v>128</v>
      </c>
      <c r="G23" s="235">
        <v>139</v>
      </c>
      <c r="H23" s="222"/>
    </row>
    <row r="24" spans="1:8" ht="24" thickBot="1">
      <c r="A24" s="62"/>
      <c r="B24" s="62"/>
      <c r="C24" s="236" t="s">
        <v>206</v>
      </c>
      <c r="D24" s="223">
        <v>1</v>
      </c>
      <c r="E24" s="104" t="s">
        <v>20</v>
      </c>
      <c r="F24" s="229" t="s">
        <v>128</v>
      </c>
      <c r="G24" s="237">
        <f>ROUNDDOWN(G22+G23,0)</f>
        <v>411</v>
      </c>
      <c r="H24" s="222" t="s">
        <v>201</v>
      </c>
    </row>
    <row r="25" spans="1:8" ht="16.2" thickTop="1"/>
  </sheetData>
  <pageMargins left="0.7" right="0.7" top="0.75" bottom="0.75" header="0.3" footer="0.3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view="pageBreakPreview" zoomScaleNormal="100" zoomScaleSheetLayoutView="100" workbookViewId="0">
      <selection activeCell="H10" sqref="H10:I10"/>
    </sheetView>
  </sheetViews>
  <sheetFormatPr defaultColWidth="9" defaultRowHeight="24"/>
  <cols>
    <col min="1" max="1" width="6.88671875" style="1" customWidth="1"/>
    <col min="2" max="2" width="20" style="1" customWidth="1"/>
    <col min="3" max="3" width="4.77734375" style="1" customWidth="1"/>
    <col min="4" max="4" width="4.109375" style="1" customWidth="1"/>
    <col min="5" max="5" width="9.44140625" style="1" customWidth="1"/>
    <col min="6" max="10" width="11.6640625" style="1" customWidth="1"/>
    <col min="11" max="16384" width="9" style="1"/>
  </cols>
  <sheetData>
    <row r="1" spans="1:11">
      <c r="A1" s="2" t="s">
        <v>229</v>
      </c>
      <c r="B1" s="3"/>
      <c r="C1" s="3"/>
      <c r="D1" s="3"/>
      <c r="E1" s="3"/>
      <c r="F1" s="3"/>
      <c r="G1" s="3"/>
      <c r="H1" s="3"/>
      <c r="I1" s="3"/>
      <c r="J1" s="3"/>
    </row>
    <row r="2" spans="1:11">
      <c r="A2" s="2" t="s">
        <v>134</v>
      </c>
      <c r="B2" s="3"/>
      <c r="C2" s="3"/>
      <c r="D2" s="3"/>
      <c r="E2" s="3"/>
      <c r="F2" s="3"/>
      <c r="G2" s="3"/>
      <c r="H2" s="3"/>
      <c r="I2" s="3"/>
      <c r="J2" s="3"/>
    </row>
    <row r="3" spans="1:11" ht="14.25" customHeight="1">
      <c r="A3" s="412" t="s">
        <v>135</v>
      </c>
      <c r="B3" s="413"/>
      <c r="C3" s="413"/>
      <c r="D3" s="413"/>
      <c r="E3" s="413"/>
      <c r="F3" s="412" t="s">
        <v>136</v>
      </c>
      <c r="G3" s="408" t="s">
        <v>137</v>
      </c>
      <c r="H3" s="408" t="s">
        <v>138</v>
      </c>
      <c r="I3" s="408" t="s">
        <v>139</v>
      </c>
      <c r="J3" s="408" t="s">
        <v>140</v>
      </c>
    </row>
    <row r="4" spans="1:11" ht="14.25" customHeight="1">
      <c r="A4" s="414"/>
      <c r="B4" s="415"/>
      <c r="C4" s="415"/>
      <c r="D4" s="415"/>
      <c r="E4" s="415"/>
      <c r="F4" s="414"/>
      <c r="G4" s="409"/>
      <c r="H4" s="409"/>
      <c r="I4" s="409"/>
      <c r="J4" s="409"/>
    </row>
    <row r="5" spans="1:11">
      <c r="A5" s="410" t="s">
        <v>141</v>
      </c>
      <c r="B5" s="411"/>
      <c r="C5" s="411"/>
      <c r="D5" s="411"/>
      <c r="E5" s="411"/>
      <c r="F5" s="15" t="s">
        <v>142</v>
      </c>
      <c r="G5" s="15" t="s">
        <v>143</v>
      </c>
      <c r="H5" s="16" t="s">
        <v>144</v>
      </c>
      <c r="I5" s="16" t="s">
        <v>145</v>
      </c>
      <c r="J5" s="16" t="s">
        <v>146</v>
      </c>
    </row>
    <row r="6" spans="1:11">
      <c r="A6" s="17" t="s">
        <v>147</v>
      </c>
      <c r="B6" s="3"/>
      <c r="C6" s="10">
        <v>1.05</v>
      </c>
      <c r="D6" s="10" t="s">
        <v>122</v>
      </c>
      <c r="E6" s="18">
        <f>'1.ค่าวัสดุและดำเนินการ'!K19</f>
        <v>0</v>
      </c>
      <c r="F6" s="19">
        <f>ROUND($E$6*$C$6*0.4,2)</f>
        <v>0</v>
      </c>
      <c r="G6" s="20">
        <f>ROUND($E$6*$C$6*0.35,2)</f>
        <v>0</v>
      </c>
      <c r="H6" s="20">
        <f>ROUND($E$6*$C$6*0.32,2)</f>
        <v>0</v>
      </c>
      <c r="I6" s="20">
        <f>ROUND($E$6*$C$6*0.29,2)</f>
        <v>0</v>
      </c>
      <c r="J6" s="20">
        <f>ROUND($E$6*$C$6*0.24,2)</f>
        <v>0</v>
      </c>
    </row>
    <row r="7" spans="1:11">
      <c r="A7" s="17" t="s">
        <v>148</v>
      </c>
      <c r="B7" s="3"/>
      <c r="C7" s="12">
        <v>1.2</v>
      </c>
      <c r="D7" s="10" t="s">
        <v>122</v>
      </c>
      <c r="E7" s="21">
        <f>'1.ค่าวัสดุและดำเนินการ'!K20</f>
        <v>542.58000000000004</v>
      </c>
      <c r="F7" s="19">
        <f>ROUND($E$7*$C$7*0.524,2)</f>
        <v>341.17</v>
      </c>
      <c r="G7" s="20">
        <f>ROUND($E$7*$C$7*0.572,2)</f>
        <v>372.43</v>
      </c>
      <c r="H7" s="20">
        <f>ROUND($E$7*$C$7*0.596,2)</f>
        <v>388.05</v>
      </c>
      <c r="I7" s="20">
        <f>ROUND($E$7*$C$7*0.62,2)</f>
        <v>403.68</v>
      </c>
      <c r="J7" s="20">
        <f>ROUND($E$7*$C$7*0.52,2)</f>
        <v>338.57</v>
      </c>
    </row>
    <row r="8" spans="1:11">
      <c r="A8" s="17" t="s">
        <v>149</v>
      </c>
      <c r="B8" s="3"/>
      <c r="C8" s="10">
        <v>1.1499999999999999</v>
      </c>
      <c r="D8" s="10" t="s">
        <v>122</v>
      </c>
      <c r="E8" s="21">
        <f>'1.ค่าวัสดุและดำเนินการ'!K21</f>
        <v>741.32</v>
      </c>
      <c r="F8" s="19">
        <f>ROUND($E$8*$C$8*0.728,2)</f>
        <v>620.63</v>
      </c>
      <c r="G8" s="20">
        <f>ROUND($E$8*$C$8*0.736,2)</f>
        <v>627.45000000000005</v>
      </c>
      <c r="H8" s="20">
        <f>ROUND($E$8*$C$8*0.764,2)</f>
        <v>651.32000000000005</v>
      </c>
      <c r="I8" s="20">
        <f>ROUND($E$8*$C$8*0.725,2)</f>
        <v>618.08000000000004</v>
      </c>
      <c r="J8" s="20">
        <f>ROUND($E$8*$C$8*0.87,2)</f>
        <v>741.69</v>
      </c>
    </row>
    <row r="9" spans="1:11">
      <c r="A9" s="17" t="s">
        <v>231</v>
      </c>
      <c r="B9" s="3"/>
      <c r="C9" s="3"/>
      <c r="D9" s="3"/>
      <c r="E9" s="10"/>
      <c r="F9" s="26"/>
      <c r="G9" s="26"/>
      <c r="H9" s="26"/>
      <c r="I9" s="26"/>
      <c r="J9" s="26">
        <v>398</v>
      </c>
      <c r="K9" s="39"/>
    </row>
    <row r="10" spans="1:11">
      <c r="A10" s="410" t="s">
        <v>12</v>
      </c>
      <c r="B10" s="411"/>
      <c r="C10" s="411"/>
      <c r="D10" s="411"/>
      <c r="E10" s="411"/>
      <c r="F10" s="27"/>
      <c r="G10" s="27"/>
      <c r="H10" s="27"/>
      <c r="I10" s="27"/>
      <c r="J10" s="27">
        <f>ROUNDDOWN(SUM(J6:J9),2)</f>
        <v>1478.26</v>
      </c>
    </row>
    <row r="11" spans="1:11">
      <c r="A11" s="10"/>
      <c r="B11" s="10"/>
      <c r="C11" s="10"/>
      <c r="D11" s="10"/>
      <c r="E11" s="10"/>
      <c r="F11" s="13"/>
      <c r="G11" s="13"/>
      <c r="H11" s="13"/>
      <c r="I11" s="13"/>
      <c r="J11" s="13"/>
    </row>
    <row r="12" spans="1:11">
      <c r="A12" s="10"/>
      <c r="B12" s="10"/>
      <c r="C12" s="10"/>
      <c r="D12" s="10"/>
      <c r="E12" s="10"/>
      <c r="F12" s="13"/>
      <c r="G12" s="13"/>
      <c r="H12" s="13"/>
      <c r="I12" s="13"/>
      <c r="J12" s="13"/>
    </row>
    <row r="13" spans="1:11">
      <c r="A13" s="10"/>
      <c r="B13" s="10"/>
      <c r="C13" s="10"/>
      <c r="D13" s="10"/>
      <c r="E13" s="10"/>
      <c r="F13" s="13"/>
      <c r="G13" s="13"/>
      <c r="H13" s="13"/>
      <c r="I13" s="13"/>
      <c r="J13" s="13"/>
    </row>
    <row r="14" spans="1:11">
      <c r="A14" s="2" t="s">
        <v>230</v>
      </c>
      <c r="B14" s="3"/>
      <c r="C14" s="3"/>
      <c r="D14" s="3"/>
      <c r="E14" s="3"/>
      <c r="F14" s="3"/>
      <c r="G14" s="3"/>
      <c r="H14" s="3"/>
      <c r="I14" s="3"/>
      <c r="J14" s="3"/>
    </row>
    <row r="15" spans="1:11">
      <c r="A15" s="412" t="s">
        <v>135</v>
      </c>
      <c r="B15" s="413"/>
      <c r="C15" s="413"/>
      <c r="D15" s="413"/>
      <c r="E15" s="413"/>
      <c r="F15" s="412" t="s">
        <v>150</v>
      </c>
      <c r="G15" s="408" t="s">
        <v>151</v>
      </c>
      <c r="H15" s="408" t="s">
        <v>152</v>
      </c>
      <c r="I15" s="408" t="s">
        <v>153</v>
      </c>
      <c r="J15" s="408" t="s">
        <v>154</v>
      </c>
    </row>
    <row r="16" spans="1:11">
      <c r="A16" s="414"/>
      <c r="B16" s="415"/>
      <c r="C16" s="415"/>
      <c r="D16" s="415"/>
      <c r="E16" s="415"/>
      <c r="F16" s="414"/>
      <c r="G16" s="409"/>
      <c r="H16" s="409"/>
      <c r="I16" s="409"/>
      <c r="J16" s="409"/>
    </row>
    <row r="17" spans="1:10">
      <c r="A17" s="17" t="s">
        <v>155</v>
      </c>
      <c r="B17" s="3"/>
      <c r="C17" s="10"/>
      <c r="D17" s="10"/>
      <c r="F17" s="38"/>
      <c r="G17" s="37">
        <f>'1.ค่าวัสดุและดำเนินการ'!F12</f>
        <v>2140.19</v>
      </c>
      <c r="H17" s="37"/>
      <c r="I17" s="37"/>
      <c r="J17" s="37"/>
    </row>
    <row r="18" spans="1:10">
      <c r="A18" s="22" t="s">
        <v>156</v>
      </c>
      <c r="B18" s="23"/>
      <c r="C18" s="23"/>
      <c r="D18" s="23"/>
      <c r="E18" s="24"/>
      <c r="F18" s="25"/>
      <c r="G18" s="25"/>
      <c r="H18" s="26"/>
      <c r="I18" s="26"/>
      <c r="J18" s="26"/>
    </row>
    <row r="19" spans="1:10">
      <c r="A19" s="410" t="s">
        <v>12</v>
      </c>
      <c r="B19" s="411"/>
      <c r="C19" s="411"/>
      <c r="D19" s="411"/>
      <c r="E19" s="411"/>
      <c r="F19" s="19">
        <f>ROUND(SUM(F17:F18),2)</f>
        <v>0</v>
      </c>
      <c r="G19" s="19">
        <f>ROUND(SUM(G17:G18),2)</f>
        <v>2140.19</v>
      </c>
      <c r="H19" s="19">
        <f>ROUND(SUM(H17:H18),2)</f>
        <v>0</v>
      </c>
      <c r="I19" s="19">
        <f>ROUND(SUM(I17:I18),2)</f>
        <v>0</v>
      </c>
      <c r="J19" s="27">
        <f>ROUND(SUM(J17:J18),2)</f>
        <v>0</v>
      </c>
    </row>
  </sheetData>
  <mergeCells count="15">
    <mergeCell ref="J3:J4"/>
    <mergeCell ref="A3:E4"/>
    <mergeCell ref="F3:F4"/>
    <mergeCell ref="G3:G4"/>
    <mergeCell ref="H3:H4"/>
    <mergeCell ref="I3:I4"/>
    <mergeCell ref="I15:I16"/>
    <mergeCell ref="J15:J16"/>
    <mergeCell ref="A19:E19"/>
    <mergeCell ref="A5:E5"/>
    <mergeCell ref="A10:E10"/>
    <mergeCell ref="A15:E16"/>
    <mergeCell ref="F15:F16"/>
    <mergeCell ref="G15:G16"/>
    <mergeCell ref="H15:H16"/>
  </mergeCells>
  <printOptions horizontalCentered="1"/>
  <pageMargins left="0.59055118110236227" right="0.19685039370078741" top="0.39370078740157483" bottom="0" header="0.31496062992125984" footer="0.31496062992125984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"/>
  <sheetViews>
    <sheetView view="pageBreakPreview" zoomScale="130" zoomScaleSheetLayoutView="130" workbookViewId="0">
      <selection activeCell="H10" sqref="H10:I10"/>
    </sheetView>
  </sheetViews>
  <sheetFormatPr defaultColWidth="9" defaultRowHeight="16.2"/>
  <cols>
    <col min="1" max="1" width="1.88671875" style="9" customWidth="1"/>
    <col min="2" max="2" width="29.33203125" style="9" customWidth="1"/>
    <col min="3" max="3" width="5.77734375" style="9" customWidth="1"/>
    <col min="4" max="4" width="2.6640625" style="9" customWidth="1"/>
    <col min="5" max="5" width="4.44140625" style="9" customWidth="1"/>
    <col min="6" max="6" width="4.33203125" style="9" customWidth="1"/>
    <col min="7" max="7" width="9" style="9"/>
    <col min="8" max="8" width="5.77734375" style="9" customWidth="1"/>
    <col min="9" max="9" width="5.109375" style="9" customWidth="1"/>
    <col min="10" max="10" width="4.88671875" style="9" customWidth="1"/>
    <col min="11" max="13" width="0.88671875" style="9" customWidth="1"/>
    <col min="14" max="14" width="1.88671875" style="9" customWidth="1"/>
    <col min="15" max="15" width="3.77734375" style="9" customWidth="1"/>
    <col min="16" max="16" width="10.44140625" style="9" customWidth="1"/>
    <col min="17" max="16384" width="9" style="9"/>
  </cols>
  <sheetData>
    <row r="1" spans="1:17" ht="24">
      <c r="A1" s="3"/>
      <c r="B1" s="4" t="s">
        <v>305</v>
      </c>
      <c r="C1" s="3"/>
      <c r="D1" s="3"/>
      <c r="E1" s="3"/>
      <c r="F1" s="3"/>
      <c r="G1" s="3"/>
      <c r="H1" s="5"/>
      <c r="I1" s="4"/>
      <c r="J1" s="3"/>
      <c r="K1" s="3"/>
      <c r="L1" s="6"/>
      <c r="M1" s="7"/>
      <c r="N1" s="8"/>
      <c r="O1" s="3"/>
      <c r="P1" s="3"/>
      <c r="Q1" s="3"/>
    </row>
    <row r="2" spans="1:17" ht="24">
      <c r="A2" s="3"/>
      <c r="B2" s="3" t="s">
        <v>304</v>
      </c>
      <c r="C2" s="34">
        <v>1</v>
      </c>
      <c r="D2" s="3" t="s">
        <v>281</v>
      </c>
      <c r="E2" s="3"/>
      <c r="F2" s="3"/>
      <c r="G2" s="3"/>
      <c r="H2" s="5"/>
      <c r="I2" s="4"/>
      <c r="J2" s="3"/>
      <c r="K2" s="3"/>
      <c r="L2" s="6"/>
      <c r="M2" s="7"/>
      <c r="N2" s="8"/>
      <c r="O2" s="3"/>
      <c r="P2" s="3"/>
      <c r="Q2" s="3"/>
    </row>
    <row r="3" spans="1:17" ht="24">
      <c r="A3" s="3"/>
      <c r="B3" s="3" t="s">
        <v>280</v>
      </c>
      <c r="C3" s="3"/>
      <c r="D3" s="10" t="s">
        <v>128</v>
      </c>
      <c r="E3" s="416">
        <v>0.3</v>
      </c>
      <c r="F3" s="416"/>
      <c r="G3" s="10" t="s">
        <v>208</v>
      </c>
      <c r="H3" s="418">
        <f>ROUNDDOWN('1.ค่าวัสดุและดำเนินการ'!K12,2)</f>
        <v>2140.19</v>
      </c>
      <c r="I3" s="418"/>
      <c r="J3" s="3" t="s">
        <v>17</v>
      </c>
      <c r="K3" s="3"/>
      <c r="L3" s="6"/>
      <c r="M3" s="7"/>
      <c r="N3" s="8"/>
      <c r="O3" s="10" t="s">
        <v>74</v>
      </c>
      <c r="P3" s="28">
        <f t="shared" ref="P3:P11" si="0">ROUND(E3*H3,2)</f>
        <v>642.05999999999995</v>
      </c>
      <c r="Q3" s="10" t="s">
        <v>17</v>
      </c>
    </row>
    <row r="4" spans="1:17" ht="24">
      <c r="A4" s="3"/>
      <c r="B4" s="3" t="s">
        <v>210</v>
      </c>
      <c r="C4" s="3"/>
      <c r="D4" s="10" t="s">
        <v>128</v>
      </c>
      <c r="E4" s="416">
        <v>26</v>
      </c>
      <c r="F4" s="416"/>
      <c r="G4" s="10" t="s">
        <v>209</v>
      </c>
      <c r="H4" s="418">
        <f>ROUNDDOWN('1.ค่าวัสดุและดำเนินการ'!K14/1000,2)</f>
        <v>29.29</v>
      </c>
      <c r="I4" s="418"/>
      <c r="J4" s="3" t="s">
        <v>17</v>
      </c>
      <c r="K4" s="3"/>
      <c r="L4" s="3"/>
      <c r="M4" s="3"/>
      <c r="N4" s="3"/>
      <c r="O4" s="10" t="s">
        <v>74</v>
      </c>
      <c r="P4" s="28">
        <f t="shared" si="0"/>
        <v>761.54</v>
      </c>
      <c r="Q4" s="10" t="s">
        <v>17</v>
      </c>
    </row>
    <row r="5" spans="1:17" ht="24">
      <c r="A5" s="3"/>
      <c r="B5" s="3" t="s">
        <v>211</v>
      </c>
      <c r="C5" s="3"/>
      <c r="D5" s="10" t="s">
        <v>128</v>
      </c>
      <c r="E5" s="418">
        <f>ROUNDDOWN((E4/1000)*25,2)</f>
        <v>0.65</v>
      </c>
      <c r="F5" s="418"/>
      <c r="G5" s="10" t="s">
        <v>209</v>
      </c>
      <c r="H5" s="418">
        <f>ROUNDDOWN('1.ค่าวัสดุและดำเนินการ'!K18,2)</f>
        <v>46.1</v>
      </c>
      <c r="I5" s="418"/>
      <c r="J5" s="3" t="s">
        <v>17</v>
      </c>
      <c r="K5" s="3"/>
      <c r="L5" s="3"/>
      <c r="M5" s="3"/>
      <c r="N5" s="3"/>
      <c r="O5" s="10" t="s">
        <v>74</v>
      </c>
      <c r="P5" s="28">
        <f t="shared" si="0"/>
        <v>29.97</v>
      </c>
      <c r="Q5" s="10" t="s">
        <v>17</v>
      </c>
    </row>
    <row r="6" spans="1:17" ht="24">
      <c r="A6" s="3"/>
      <c r="B6" s="3" t="s">
        <v>212</v>
      </c>
      <c r="C6" s="3"/>
      <c r="D6" s="10" t="s">
        <v>128</v>
      </c>
      <c r="E6" s="416">
        <v>3.3</v>
      </c>
      <c r="F6" s="416"/>
      <c r="G6" s="10" t="s">
        <v>213</v>
      </c>
      <c r="H6" s="417">
        <f>ROUNDDOWN(แบบหล่อคอนกรีต!G11,2)</f>
        <v>480</v>
      </c>
      <c r="I6" s="417"/>
      <c r="J6" s="3" t="s">
        <v>17</v>
      </c>
      <c r="K6" s="3"/>
      <c r="L6" s="3"/>
      <c r="M6" s="3"/>
      <c r="N6" s="3"/>
      <c r="O6" s="10" t="s">
        <v>74</v>
      </c>
      <c r="P6" s="28">
        <f t="shared" si="0"/>
        <v>1584</v>
      </c>
      <c r="Q6" s="10" t="s">
        <v>17</v>
      </c>
    </row>
    <row r="7" spans="1:17" ht="24">
      <c r="A7" s="3"/>
      <c r="B7" s="3" t="s">
        <v>286</v>
      </c>
      <c r="C7" s="3"/>
      <c r="D7" s="10" t="s">
        <v>128</v>
      </c>
      <c r="E7" s="416">
        <v>8.8000000000000007</v>
      </c>
      <c r="F7" s="416"/>
      <c r="G7" s="10" t="s">
        <v>289</v>
      </c>
      <c r="H7" s="417">
        <f>ROUNDDOWN('1.ค่าวัสดุและดำเนินการ'!K30/18.36,2)</f>
        <v>0</v>
      </c>
      <c r="I7" s="417"/>
      <c r="J7" s="3" t="s">
        <v>17</v>
      </c>
      <c r="K7" s="3"/>
      <c r="L7" s="3"/>
      <c r="M7" s="3"/>
      <c r="N7" s="3"/>
      <c r="O7" s="10" t="s">
        <v>74</v>
      </c>
      <c r="P7" s="28">
        <f t="shared" ref="P7" si="1">ROUND(E7*H7,2)</f>
        <v>0</v>
      </c>
      <c r="Q7" s="10" t="s">
        <v>17</v>
      </c>
    </row>
    <row r="8" spans="1:17" ht="24">
      <c r="A8" s="3"/>
      <c r="B8" s="3" t="s">
        <v>287</v>
      </c>
      <c r="C8" s="3"/>
      <c r="D8" s="10" t="s">
        <v>128</v>
      </c>
      <c r="E8" s="418">
        <f>E7</f>
        <v>8.8000000000000007</v>
      </c>
      <c r="F8" s="418"/>
      <c r="G8" s="10" t="s">
        <v>289</v>
      </c>
      <c r="H8" s="419">
        <v>10</v>
      </c>
      <c r="I8" s="419"/>
      <c r="J8" s="3" t="s">
        <v>17</v>
      </c>
      <c r="K8" s="3"/>
      <c r="L8" s="3"/>
      <c r="M8" s="3"/>
      <c r="N8" s="3"/>
      <c r="O8" s="10" t="s">
        <v>74</v>
      </c>
      <c r="P8" s="28">
        <f t="shared" ref="P8" si="2">ROUND(E8*H8,2)</f>
        <v>88</v>
      </c>
      <c r="Q8" s="10" t="s">
        <v>17</v>
      </c>
    </row>
    <row r="9" spans="1:17" ht="24">
      <c r="A9" s="3"/>
      <c r="B9" s="3" t="s">
        <v>290</v>
      </c>
      <c r="C9" s="3"/>
      <c r="D9" s="10" t="s">
        <v>128</v>
      </c>
      <c r="E9" s="416">
        <v>0.8</v>
      </c>
      <c r="F9" s="416"/>
      <c r="G9" s="10" t="s">
        <v>215</v>
      </c>
      <c r="H9" s="416">
        <v>19.96</v>
      </c>
      <c r="I9" s="416"/>
      <c r="J9" s="3" t="s">
        <v>17</v>
      </c>
      <c r="K9" s="3"/>
      <c r="L9" s="3"/>
      <c r="M9" s="3"/>
      <c r="N9" s="3"/>
      <c r="O9" s="10" t="s">
        <v>74</v>
      </c>
      <c r="P9" s="28">
        <f>ROUND(E9*H9,2)</f>
        <v>15.97</v>
      </c>
      <c r="Q9" s="10" t="s">
        <v>17</v>
      </c>
    </row>
    <row r="10" spans="1:17" ht="24">
      <c r="A10" s="3"/>
      <c r="B10" s="3" t="s">
        <v>91</v>
      </c>
      <c r="C10" s="3"/>
      <c r="D10" s="10" t="s">
        <v>128</v>
      </c>
      <c r="E10" s="420">
        <v>3.5000000000000003E-2</v>
      </c>
      <c r="F10" s="420"/>
      <c r="G10" s="10" t="s">
        <v>215</v>
      </c>
      <c r="H10" s="417">
        <f>ROUNDDOWN(คอนกรีต!J10,2)</f>
        <v>1478.26</v>
      </c>
      <c r="I10" s="417"/>
      <c r="J10" s="3" t="s">
        <v>17</v>
      </c>
      <c r="K10" s="3"/>
      <c r="L10" s="3"/>
      <c r="M10" s="3"/>
      <c r="N10" s="3"/>
      <c r="O10" s="10" t="s">
        <v>74</v>
      </c>
      <c r="P10" s="28">
        <f t="shared" si="0"/>
        <v>51.74</v>
      </c>
      <c r="Q10" s="10" t="s">
        <v>17</v>
      </c>
    </row>
    <row r="11" spans="1:17" ht="24">
      <c r="A11" s="3"/>
      <c r="B11" s="3" t="s">
        <v>301</v>
      </c>
      <c r="C11" s="3"/>
      <c r="D11" s="10" t="s">
        <v>128</v>
      </c>
      <c r="E11" s="420">
        <v>3.5000000000000003E-2</v>
      </c>
      <c r="F11" s="420"/>
      <c r="G11" s="10" t="s">
        <v>215</v>
      </c>
      <c r="H11" s="417">
        <f>ROUNDDOWN('1.ค่าวัสดุและดำเนินการ'!K20,2)</f>
        <v>542.58000000000004</v>
      </c>
      <c r="I11" s="417"/>
      <c r="J11" s="3" t="s">
        <v>17</v>
      </c>
      <c r="K11" s="3"/>
      <c r="L11" s="3"/>
      <c r="M11" s="3"/>
      <c r="N11" s="3"/>
      <c r="O11" s="10" t="s">
        <v>74</v>
      </c>
      <c r="P11" s="28">
        <f t="shared" si="0"/>
        <v>18.989999999999998</v>
      </c>
      <c r="Q11" s="10" t="s">
        <v>17</v>
      </c>
    </row>
    <row r="12" spans="1:17" ht="24">
      <c r="A12" s="3"/>
      <c r="B12" s="3" t="s">
        <v>296</v>
      </c>
      <c r="C12" s="3"/>
      <c r="D12" s="10" t="s">
        <v>128</v>
      </c>
      <c r="E12" s="416">
        <v>0.56000000000000005</v>
      </c>
      <c r="F12" s="416"/>
      <c r="G12" s="10" t="s">
        <v>213</v>
      </c>
      <c r="H12" s="417">
        <f>ROUNDDOWN(สี!F7,2)</f>
        <v>72</v>
      </c>
      <c r="I12" s="417"/>
      <c r="J12" s="3" t="s">
        <v>17</v>
      </c>
      <c r="K12" s="3"/>
      <c r="L12" s="3"/>
      <c r="M12" s="3"/>
      <c r="N12" s="3"/>
      <c r="O12" s="10" t="s">
        <v>74</v>
      </c>
      <c r="P12" s="28">
        <f t="shared" ref="P12" si="3">ROUND(E12*H12,2)</f>
        <v>40.32</v>
      </c>
      <c r="Q12" s="10" t="s">
        <v>17</v>
      </c>
    </row>
    <row r="13" spans="1:17" ht="24">
      <c r="A13" s="3"/>
      <c r="B13" s="11" t="s">
        <v>79</v>
      </c>
      <c r="C13" s="3"/>
      <c r="D13" s="3"/>
      <c r="E13" s="14"/>
      <c r="F13" s="3"/>
      <c r="G13" s="3"/>
      <c r="H13" s="3"/>
      <c r="I13" s="3"/>
      <c r="J13" s="3"/>
      <c r="K13" s="3"/>
      <c r="L13" s="3"/>
      <c r="M13" s="3"/>
      <c r="N13" s="3"/>
      <c r="O13" s="10" t="s">
        <v>74</v>
      </c>
      <c r="P13" s="30">
        <f>ROUND((SUM(P3:P12)),2)</f>
        <v>3232.59</v>
      </c>
      <c r="Q13" s="10" t="s">
        <v>17</v>
      </c>
    </row>
    <row r="14" spans="1:17" ht="24.6" thickBot="1">
      <c r="A14" s="3"/>
      <c r="N14" s="29" t="s">
        <v>168</v>
      </c>
      <c r="O14" s="10" t="s">
        <v>74</v>
      </c>
      <c r="P14" s="31">
        <f>ROUNDDOWN(P13,0)</f>
        <v>3232</v>
      </c>
      <c r="Q14" s="10" t="s">
        <v>17</v>
      </c>
    </row>
    <row r="15" spans="1:17" ht="24.6" thickTop="1">
      <c r="A15" s="3"/>
      <c r="N15" s="29"/>
      <c r="O15" s="10"/>
      <c r="P15" s="33"/>
      <c r="Q15" s="10"/>
    </row>
    <row r="16" spans="1:17" ht="24">
      <c r="A16" s="3"/>
      <c r="B16" s="3" t="s">
        <v>299</v>
      </c>
      <c r="C16" s="34">
        <v>1</v>
      </c>
      <c r="D16" s="3" t="s">
        <v>217</v>
      </c>
      <c r="E16" s="3"/>
      <c r="F16" s="3"/>
      <c r="G16" s="3"/>
      <c r="H16" s="5"/>
      <c r="I16" s="4"/>
      <c r="J16" s="3"/>
      <c r="K16" s="3"/>
      <c r="L16" s="6"/>
      <c r="M16" s="7"/>
      <c r="N16" s="8"/>
      <c r="O16" s="3"/>
      <c r="P16" s="3"/>
      <c r="Q16" s="3"/>
    </row>
    <row r="17" spans="1:17" ht="24">
      <c r="A17" s="3"/>
      <c r="B17" s="3" t="s">
        <v>300</v>
      </c>
      <c r="C17" s="3"/>
      <c r="D17" s="10" t="s">
        <v>128</v>
      </c>
      <c r="E17" s="416">
        <v>50</v>
      </c>
      <c r="F17" s="416"/>
      <c r="G17" s="10" t="s">
        <v>209</v>
      </c>
      <c r="H17" s="418">
        <f>ROUNDDOWN('1.ค่าวัสดุและดำเนินการ'!K31/14.13,2)</f>
        <v>0</v>
      </c>
      <c r="I17" s="418"/>
      <c r="J17" s="3" t="s">
        <v>17</v>
      </c>
      <c r="K17" s="3"/>
      <c r="L17" s="6"/>
      <c r="M17" s="7"/>
      <c r="N17" s="8"/>
      <c r="O17" s="10" t="s">
        <v>74</v>
      </c>
      <c r="P17" s="28">
        <f t="shared" ref="P17:P19" si="4">ROUND(E17*H17,2)</f>
        <v>0</v>
      </c>
      <c r="Q17" s="10" t="s">
        <v>17</v>
      </c>
    </row>
    <row r="18" spans="1:17" ht="24">
      <c r="A18" s="3"/>
      <c r="B18" s="3" t="s">
        <v>287</v>
      </c>
      <c r="C18" s="3"/>
      <c r="D18" s="10" t="s">
        <v>128</v>
      </c>
      <c r="E18" s="421">
        <f>E17</f>
        <v>50</v>
      </c>
      <c r="F18" s="421"/>
      <c r="G18" s="10" t="s">
        <v>209</v>
      </c>
      <c r="H18" s="416">
        <v>10</v>
      </c>
      <c r="I18" s="416"/>
      <c r="J18" s="3" t="s">
        <v>17</v>
      </c>
      <c r="K18" s="3"/>
      <c r="L18" s="3"/>
      <c r="M18" s="3"/>
      <c r="N18" s="3"/>
      <c r="O18" s="10" t="s">
        <v>74</v>
      </c>
      <c r="P18" s="28">
        <f t="shared" si="4"/>
        <v>500</v>
      </c>
      <c r="Q18" s="10" t="s">
        <v>17</v>
      </c>
    </row>
    <row r="19" spans="1:17" ht="24">
      <c r="A19" s="3"/>
      <c r="B19" s="3" t="s">
        <v>296</v>
      </c>
      <c r="C19" s="3"/>
      <c r="D19" s="10" t="s">
        <v>128</v>
      </c>
      <c r="E19" s="416">
        <v>2.1</v>
      </c>
      <c r="F19" s="416"/>
      <c r="G19" s="10" t="s">
        <v>213</v>
      </c>
      <c r="H19" s="417">
        <f>ROUNDDOWN(สี!F7,2)</f>
        <v>72</v>
      </c>
      <c r="I19" s="417"/>
      <c r="J19" s="3" t="s">
        <v>17</v>
      </c>
      <c r="K19" s="3"/>
      <c r="L19" s="3"/>
      <c r="M19" s="3"/>
      <c r="N19" s="3"/>
      <c r="O19" s="10" t="s">
        <v>74</v>
      </c>
      <c r="P19" s="28">
        <f t="shared" si="4"/>
        <v>151.19999999999999</v>
      </c>
      <c r="Q19" s="10" t="s">
        <v>17</v>
      </c>
    </row>
    <row r="20" spans="1:17" ht="24">
      <c r="A20" s="3"/>
      <c r="B20" s="11" t="s">
        <v>79</v>
      </c>
      <c r="C20" s="3"/>
      <c r="D20" s="3"/>
      <c r="E20" s="14"/>
      <c r="F20" s="3"/>
      <c r="G20" s="3"/>
      <c r="H20" s="3"/>
      <c r="I20" s="3"/>
      <c r="J20" s="3"/>
      <c r="K20" s="3"/>
      <c r="L20" s="3"/>
      <c r="M20" s="3"/>
      <c r="N20" s="3"/>
      <c r="O20" s="10" t="s">
        <v>74</v>
      </c>
      <c r="P20" s="30">
        <f>ROUND((SUM(P17:P19)),2)</f>
        <v>651.20000000000005</v>
      </c>
      <c r="Q20" s="10" t="s">
        <v>17</v>
      </c>
    </row>
    <row r="21" spans="1:17" ht="24.6" thickBot="1">
      <c r="A21" s="3"/>
      <c r="N21" s="29" t="s">
        <v>168</v>
      </c>
      <c r="O21" s="10" t="s">
        <v>74</v>
      </c>
      <c r="P21" s="31">
        <f>ROUNDDOWN(P20,0)</f>
        <v>651</v>
      </c>
      <c r="Q21" s="10" t="s">
        <v>17</v>
      </c>
    </row>
    <row r="22" spans="1:17" ht="16.8" thickTop="1"/>
    <row r="23" spans="1:17" ht="24.6" thickBot="1">
      <c r="N23" s="29" t="s">
        <v>302</v>
      </c>
      <c r="O23" s="10" t="s">
        <v>74</v>
      </c>
      <c r="P23" s="31">
        <f>ROUNDDOWN(P14+P21,0)</f>
        <v>3883</v>
      </c>
      <c r="Q23" s="10" t="s">
        <v>17</v>
      </c>
    </row>
    <row r="24" spans="1:17" ht="16.8" thickTop="1"/>
  </sheetData>
  <mergeCells count="26">
    <mergeCell ref="E19:F19"/>
    <mergeCell ref="H19:I19"/>
    <mergeCell ref="E12:F12"/>
    <mergeCell ref="H12:I12"/>
    <mergeCell ref="E8:F8"/>
    <mergeCell ref="H8:I8"/>
    <mergeCell ref="E11:F11"/>
    <mergeCell ref="H11:I11"/>
    <mergeCell ref="E18:F18"/>
    <mergeCell ref="H18:I18"/>
    <mergeCell ref="E10:F10"/>
    <mergeCell ref="H10:I10"/>
    <mergeCell ref="E17:F17"/>
    <mergeCell ref="H17:I17"/>
    <mergeCell ref="E3:F3"/>
    <mergeCell ref="H3:I3"/>
    <mergeCell ref="E4:F4"/>
    <mergeCell ref="H4:I4"/>
    <mergeCell ref="E5:F5"/>
    <mergeCell ref="H5:I5"/>
    <mergeCell ref="E6:F6"/>
    <mergeCell ref="H6:I6"/>
    <mergeCell ref="E9:F9"/>
    <mergeCell ref="H9:I9"/>
    <mergeCell ref="E7:F7"/>
    <mergeCell ref="H7:I7"/>
  </mergeCells>
  <printOptions horizontalCentered="1"/>
  <pageMargins left="0.59055118110236227" right="0.19685039370078741" top="0.39370078740157483" bottom="0" header="0.31496062992125984" footer="0.31496062992125984"/>
  <pageSetup paperSize="9" scale="88" orientation="portrait" r:id="rId1"/>
  <colBreaks count="1" manualBreakCount="1">
    <brk id="1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4"/>
  <sheetViews>
    <sheetView view="pageBreakPreview" topLeftCell="A10" zoomScale="130" zoomScaleNormal="100" zoomScaleSheetLayoutView="130" workbookViewId="0">
      <selection activeCell="H10" sqref="H10:I10"/>
    </sheetView>
  </sheetViews>
  <sheetFormatPr defaultColWidth="9" defaultRowHeight="16.2"/>
  <cols>
    <col min="1" max="1" width="1.88671875" style="9" customWidth="1"/>
    <col min="2" max="2" width="29.33203125" style="9" customWidth="1"/>
    <col min="3" max="3" width="9.88671875" style="9" customWidth="1"/>
    <col min="4" max="4" width="2.6640625" style="9" customWidth="1"/>
    <col min="5" max="5" width="4.44140625" style="9" customWidth="1"/>
    <col min="6" max="6" width="4.33203125" style="9" customWidth="1"/>
    <col min="7" max="7" width="9" style="9"/>
    <col min="8" max="8" width="5.77734375" style="9" customWidth="1"/>
    <col min="9" max="9" width="5.109375" style="9" customWidth="1"/>
    <col min="10" max="10" width="4.88671875" style="9" customWidth="1"/>
    <col min="11" max="13" width="0.88671875" style="9" customWidth="1"/>
    <col min="14" max="14" width="1.88671875" style="9" customWidth="1"/>
    <col min="15" max="15" width="3.77734375" style="9" customWidth="1"/>
    <col min="16" max="16" width="10.44140625" style="9" customWidth="1"/>
    <col min="17" max="16384" width="9" style="9"/>
  </cols>
  <sheetData>
    <row r="1" spans="1:17" ht="24">
      <c r="A1" s="3"/>
      <c r="B1" s="4" t="s">
        <v>306</v>
      </c>
      <c r="C1" s="3"/>
      <c r="D1" s="3"/>
      <c r="E1" s="3"/>
      <c r="F1" s="3"/>
      <c r="G1" s="3"/>
      <c r="H1" s="5"/>
      <c r="I1" s="4"/>
      <c r="J1" s="3"/>
      <c r="K1" s="3"/>
      <c r="L1" s="6"/>
      <c r="M1" s="7"/>
      <c r="N1" s="8"/>
      <c r="O1" s="3"/>
      <c r="P1" s="3"/>
      <c r="Q1" s="3"/>
    </row>
    <row r="2" spans="1:17" ht="24">
      <c r="A2" s="3"/>
      <c r="B2" s="3" t="s">
        <v>304</v>
      </c>
      <c r="C2" s="34">
        <v>1</v>
      </c>
      <c r="D2" s="3" t="s">
        <v>281</v>
      </c>
      <c r="E2" s="3"/>
      <c r="F2" s="3"/>
      <c r="G2" s="3"/>
      <c r="H2" s="5"/>
      <c r="I2" s="4"/>
      <c r="J2" s="3"/>
      <c r="K2" s="3"/>
      <c r="L2" s="6"/>
      <c r="M2" s="7"/>
      <c r="N2" s="8"/>
      <c r="O2" s="3"/>
      <c r="P2" s="3"/>
      <c r="Q2" s="3"/>
    </row>
    <row r="3" spans="1:17" ht="24">
      <c r="A3" s="3"/>
      <c r="B3" s="3" t="s">
        <v>280</v>
      </c>
      <c r="C3" s="3"/>
      <c r="D3" s="10" t="s">
        <v>128</v>
      </c>
      <c r="E3" s="416">
        <v>0.18</v>
      </c>
      <c r="F3" s="416"/>
      <c r="G3" s="10" t="s">
        <v>208</v>
      </c>
      <c r="H3" s="418">
        <f>ROUNDDOWN('1.ค่าวัสดุและดำเนินการ'!K12,2)</f>
        <v>2140.19</v>
      </c>
      <c r="I3" s="418"/>
      <c r="J3" s="3" t="s">
        <v>17</v>
      </c>
      <c r="K3" s="3"/>
      <c r="L3" s="6"/>
      <c r="M3" s="7"/>
      <c r="N3" s="8"/>
      <c r="O3" s="10" t="s">
        <v>74</v>
      </c>
      <c r="P3" s="28">
        <f>ROUND(E3*H3,2)</f>
        <v>385.23</v>
      </c>
      <c r="Q3" s="10" t="s">
        <v>17</v>
      </c>
    </row>
    <row r="4" spans="1:17" ht="24">
      <c r="A4" s="3"/>
      <c r="B4" s="3" t="s">
        <v>210</v>
      </c>
      <c r="C4" s="3"/>
      <c r="D4" s="10" t="s">
        <v>128</v>
      </c>
      <c r="E4" s="419">
        <v>9.98</v>
      </c>
      <c r="F4" s="419"/>
      <c r="G4" s="10" t="s">
        <v>209</v>
      </c>
      <c r="H4" s="417">
        <f>ROUNDDOWN('1.ค่าวัสดุและดำเนินการ'!K14/1000,2)</f>
        <v>29.29</v>
      </c>
      <c r="I4" s="417"/>
      <c r="J4" s="3" t="s">
        <v>17</v>
      </c>
      <c r="K4" s="3"/>
      <c r="L4" s="3"/>
      <c r="M4" s="3"/>
      <c r="N4" s="3"/>
      <c r="O4" s="10" t="s">
        <v>74</v>
      </c>
      <c r="P4" s="28">
        <f t="shared" ref="P4:P12" si="0">ROUND(E4*H4,2)</f>
        <v>292.31</v>
      </c>
      <c r="Q4" s="10" t="s">
        <v>17</v>
      </c>
    </row>
    <row r="5" spans="1:17" ht="24">
      <c r="A5" s="3"/>
      <c r="B5" s="3" t="s">
        <v>211</v>
      </c>
      <c r="C5" s="3"/>
      <c r="D5" s="10" t="s">
        <v>128</v>
      </c>
      <c r="E5" s="417">
        <f>ROUNDDOWN((E4/1000)*25,2)</f>
        <v>0.24</v>
      </c>
      <c r="F5" s="417"/>
      <c r="G5" s="10" t="s">
        <v>209</v>
      </c>
      <c r="H5" s="417">
        <f>ROUNDDOWN('1.ค่าวัสดุและดำเนินการ'!K18,2)</f>
        <v>46.1</v>
      </c>
      <c r="I5" s="417"/>
      <c r="J5" s="3" t="s">
        <v>17</v>
      </c>
      <c r="K5" s="3"/>
      <c r="L5" s="3"/>
      <c r="M5" s="3"/>
      <c r="N5" s="3"/>
      <c r="O5" s="10" t="s">
        <v>74</v>
      </c>
      <c r="P5" s="28">
        <f t="shared" si="0"/>
        <v>11.06</v>
      </c>
      <c r="Q5" s="10" t="s">
        <v>17</v>
      </c>
    </row>
    <row r="6" spans="1:17" ht="24">
      <c r="A6" s="3"/>
      <c r="B6" s="3" t="s">
        <v>212</v>
      </c>
      <c r="C6" s="3"/>
      <c r="D6" s="10" t="s">
        <v>128</v>
      </c>
      <c r="E6" s="419">
        <v>1.6</v>
      </c>
      <c r="F6" s="419"/>
      <c r="G6" s="10" t="s">
        <v>213</v>
      </c>
      <c r="H6" s="417">
        <f>ROUNDDOWN(แบบหล่อคอนกรีต!G11,2)</f>
        <v>480</v>
      </c>
      <c r="I6" s="417"/>
      <c r="J6" s="3" t="s">
        <v>17</v>
      </c>
      <c r="K6" s="3"/>
      <c r="L6" s="3"/>
      <c r="M6" s="3"/>
      <c r="N6" s="3"/>
      <c r="O6" s="10" t="s">
        <v>74</v>
      </c>
      <c r="P6" s="28">
        <f t="shared" si="0"/>
        <v>768</v>
      </c>
      <c r="Q6" s="10" t="s">
        <v>17</v>
      </c>
    </row>
    <row r="7" spans="1:17" ht="24">
      <c r="A7" s="3"/>
      <c r="B7" s="3" t="s">
        <v>286</v>
      </c>
      <c r="C7" s="3"/>
      <c r="D7" s="10" t="s">
        <v>128</v>
      </c>
      <c r="E7" s="419">
        <v>6.5</v>
      </c>
      <c r="F7" s="419"/>
      <c r="G7" s="10" t="s">
        <v>289</v>
      </c>
      <c r="H7" s="417">
        <f>ROUNDDOWN('1.ค่าวัสดุและดำเนินการ'!K30/18.36,2)</f>
        <v>0</v>
      </c>
      <c r="I7" s="417"/>
      <c r="J7" s="3" t="s">
        <v>17</v>
      </c>
      <c r="K7" s="3"/>
      <c r="L7" s="3"/>
      <c r="M7" s="3"/>
      <c r="N7" s="3"/>
      <c r="O7" s="10" t="s">
        <v>74</v>
      </c>
      <c r="P7" s="28">
        <f t="shared" si="0"/>
        <v>0</v>
      </c>
      <c r="Q7" s="10" t="s">
        <v>17</v>
      </c>
    </row>
    <row r="8" spans="1:17" ht="24">
      <c r="A8" s="3"/>
      <c r="B8" s="3" t="s">
        <v>287</v>
      </c>
      <c r="C8" s="3"/>
      <c r="D8" s="10" t="s">
        <v>128</v>
      </c>
      <c r="E8" s="417">
        <f>E7</f>
        <v>6.5</v>
      </c>
      <c r="F8" s="417"/>
      <c r="G8" s="10" t="s">
        <v>289</v>
      </c>
      <c r="H8" s="417">
        <v>10</v>
      </c>
      <c r="I8" s="417"/>
      <c r="J8" s="3" t="s">
        <v>17</v>
      </c>
      <c r="K8" s="3"/>
      <c r="L8" s="3"/>
      <c r="M8" s="3"/>
      <c r="N8" s="3"/>
      <c r="O8" s="10" t="s">
        <v>74</v>
      </c>
      <c r="P8" s="28">
        <f t="shared" si="0"/>
        <v>65</v>
      </c>
      <c r="Q8" s="10" t="s">
        <v>17</v>
      </c>
    </row>
    <row r="9" spans="1:17" ht="24">
      <c r="A9" s="3"/>
      <c r="B9" s="3" t="s">
        <v>290</v>
      </c>
      <c r="C9" s="3"/>
      <c r="D9" s="10" t="s">
        <v>128</v>
      </c>
      <c r="E9" s="419">
        <v>0.3</v>
      </c>
      <c r="F9" s="419"/>
      <c r="G9" s="10" t="s">
        <v>215</v>
      </c>
      <c r="H9" s="419">
        <v>19.96</v>
      </c>
      <c r="I9" s="419"/>
      <c r="J9" s="3" t="s">
        <v>17</v>
      </c>
      <c r="K9" s="3"/>
      <c r="L9" s="3"/>
      <c r="M9" s="3"/>
      <c r="N9" s="3"/>
      <c r="O9" s="10" t="s">
        <v>74</v>
      </c>
      <c r="P9" s="28">
        <f>ROUND(E9*H9,2)</f>
        <v>5.99</v>
      </c>
      <c r="Q9" s="10" t="s">
        <v>17</v>
      </c>
    </row>
    <row r="10" spans="1:17" ht="24">
      <c r="A10" s="3"/>
      <c r="B10" s="3" t="s">
        <v>91</v>
      </c>
      <c r="C10" s="3"/>
      <c r="D10" s="10" t="s">
        <v>128</v>
      </c>
      <c r="E10" s="422">
        <v>0.02</v>
      </c>
      <c r="F10" s="422"/>
      <c r="G10" s="10" t="s">
        <v>215</v>
      </c>
      <c r="H10" s="417">
        <f>ROUNDDOWN(คอนกรีต!J10,2)</f>
        <v>1478.26</v>
      </c>
      <c r="I10" s="417"/>
      <c r="J10" s="3" t="s">
        <v>17</v>
      </c>
      <c r="K10" s="3"/>
      <c r="L10" s="3"/>
      <c r="M10" s="3"/>
      <c r="N10" s="3"/>
      <c r="O10" s="10" t="s">
        <v>74</v>
      </c>
      <c r="P10" s="28">
        <f t="shared" si="0"/>
        <v>29.57</v>
      </c>
      <c r="Q10" s="10" t="s">
        <v>17</v>
      </c>
    </row>
    <row r="11" spans="1:17" ht="24">
      <c r="A11" s="3"/>
      <c r="B11" s="3" t="s">
        <v>301</v>
      </c>
      <c r="C11" s="3"/>
      <c r="D11" s="10" t="s">
        <v>128</v>
      </c>
      <c r="E11" s="422">
        <v>0.02</v>
      </c>
      <c r="F11" s="422"/>
      <c r="G11" s="10" t="s">
        <v>215</v>
      </c>
      <c r="H11" s="417">
        <f>ROUNDDOWN('1.ค่าวัสดุและดำเนินการ'!K20,2)</f>
        <v>542.58000000000004</v>
      </c>
      <c r="I11" s="417"/>
      <c r="J11" s="3" t="s">
        <v>17</v>
      </c>
      <c r="K11" s="3"/>
      <c r="L11" s="3"/>
      <c r="M11" s="3"/>
      <c r="N11" s="3"/>
      <c r="O11" s="10" t="s">
        <v>74</v>
      </c>
      <c r="P11" s="28">
        <f t="shared" si="0"/>
        <v>10.85</v>
      </c>
      <c r="Q11" s="10" t="s">
        <v>17</v>
      </c>
    </row>
    <row r="12" spans="1:17" ht="24">
      <c r="A12" s="3"/>
      <c r="B12" s="3" t="s">
        <v>296</v>
      </c>
      <c r="C12" s="3"/>
      <c r="D12" s="10" t="s">
        <v>128</v>
      </c>
      <c r="E12" s="419">
        <v>0.2</v>
      </c>
      <c r="F12" s="419"/>
      <c r="G12" s="10" t="s">
        <v>213</v>
      </c>
      <c r="H12" s="417">
        <f>ROUNDDOWN(สี!F7,2)</f>
        <v>72</v>
      </c>
      <c r="I12" s="417"/>
      <c r="J12" s="3" t="s">
        <v>17</v>
      </c>
      <c r="K12" s="3"/>
      <c r="L12" s="3"/>
      <c r="M12" s="3"/>
      <c r="N12" s="3"/>
      <c r="O12" s="10" t="s">
        <v>74</v>
      </c>
      <c r="P12" s="28">
        <f t="shared" si="0"/>
        <v>14.4</v>
      </c>
      <c r="Q12" s="10" t="s">
        <v>17</v>
      </c>
    </row>
    <row r="13" spans="1:17" ht="24">
      <c r="A13" s="3"/>
      <c r="B13" s="11" t="s">
        <v>79</v>
      </c>
      <c r="C13" s="3"/>
      <c r="D13" s="3"/>
      <c r="E13" s="14"/>
      <c r="F13" s="3"/>
      <c r="G13" s="3"/>
      <c r="H13" s="3"/>
      <c r="I13" s="3"/>
      <c r="J13" s="3"/>
      <c r="K13" s="3"/>
      <c r="L13" s="3"/>
      <c r="M13" s="3"/>
      <c r="N13" s="3"/>
      <c r="O13" s="10" t="s">
        <v>74</v>
      </c>
      <c r="P13" s="30">
        <f>ROUND((SUM(P3:P12)),2)</f>
        <v>1582.41</v>
      </c>
      <c r="Q13" s="10" t="s">
        <v>17</v>
      </c>
    </row>
    <row r="14" spans="1:17" ht="24.6" thickBot="1">
      <c r="A14" s="3"/>
      <c r="N14" s="29" t="s">
        <v>168</v>
      </c>
      <c r="O14" s="10" t="s">
        <v>74</v>
      </c>
      <c r="P14" s="31">
        <f>ROUNDDOWN(P13,0)</f>
        <v>1582</v>
      </c>
      <c r="Q14" s="10" t="s">
        <v>17</v>
      </c>
    </row>
    <row r="15" spans="1:17" ht="24.6" thickTop="1">
      <c r="A15" s="3"/>
      <c r="N15" s="29"/>
      <c r="O15" s="10"/>
      <c r="P15" s="33"/>
      <c r="Q15" s="10"/>
    </row>
    <row r="16" spans="1:17" ht="24">
      <c r="A16" s="3"/>
      <c r="B16" s="3" t="s">
        <v>299</v>
      </c>
      <c r="C16" s="34">
        <v>1</v>
      </c>
      <c r="D16" s="3" t="s">
        <v>217</v>
      </c>
      <c r="E16" s="3"/>
      <c r="F16" s="3"/>
      <c r="G16" s="3"/>
      <c r="H16" s="5"/>
      <c r="I16" s="4"/>
      <c r="J16" s="3"/>
      <c r="K16" s="3"/>
      <c r="L16" s="6"/>
      <c r="M16" s="7"/>
      <c r="N16" s="8"/>
      <c r="O16" s="3"/>
      <c r="P16" s="3"/>
      <c r="Q16" s="3"/>
    </row>
    <row r="17" spans="1:17" ht="24">
      <c r="A17" s="3"/>
      <c r="B17" s="3" t="s">
        <v>307</v>
      </c>
      <c r="C17" s="3"/>
      <c r="D17" s="10" t="s">
        <v>128</v>
      </c>
      <c r="E17" s="416">
        <v>20</v>
      </c>
      <c r="F17" s="416"/>
      <c r="G17" s="10" t="s">
        <v>209</v>
      </c>
      <c r="H17" s="418">
        <f>ROUNDDOWN('1.ค่าวัสดุและดำเนินการ'!K32/14.13,2)</f>
        <v>0</v>
      </c>
      <c r="I17" s="418"/>
      <c r="J17" s="3" t="s">
        <v>17</v>
      </c>
      <c r="K17" s="3"/>
      <c r="L17" s="6"/>
      <c r="M17" s="7"/>
      <c r="N17" s="8"/>
      <c r="O17" s="10" t="s">
        <v>74</v>
      </c>
      <c r="P17" s="28">
        <f t="shared" ref="P17:P19" si="1">ROUND(E17*H17,2)</f>
        <v>0</v>
      </c>
      <c r="Q17" s="10" t="s">
        <v>17</v>
      </c>
    </row>
    <row r="18" spans="1:17" ht="24">
      <c r="A18" s="3"/>
      <c r="B18" s="3" t="s">
        <v>287</v>
      </c>
      <c r="C18" s="3"/>
      <c r="D18" s="10" t="s">
        <v>128</v>
      </c>
      <c r="E18" s="421">
        <f>E17</f>
        <v>20</v>
      </c>
      <c r="F18" s="421"/>
      <c r="G18" s="10" t="s">
        <v>209</v>
      </c>
      <c r="H18" s="417">
        <v>10</v>
      </c>
      <c r="I18" s="417"/>
      <c r="J18" s="3" t="s">
        <v>17</v>
      </c>
      <c r="K18" s="3"/>
      <c r="L18" s="3"/>
      <c r="M18" s="3"/>
      <c r="N18" s="3"/>
      <c r="O18" s="10" t="s">
        <v>74</v>
      </c>
      <c r="P18" s="28">
        <f t="shared" si="1"/>
        <v>200</v>
      </c>
      <c r="Q18" s="10" t="s">
        <v>17</v>
      </c>
    </row>
    <row r="19" spans="1:17" ht="24">
      <c r="A19" s="3"/>
      <c r="B19" s="3" t="s">
        <v>296</v>
      </c>
      <c r="C19" s="3"/>
      <c r="D19" s="10" t="s">
        <v>128</v>
      </c>
      <c r="E19" s="416">
        <v>1.1499999999999999</v>
      </c>
      <c r="F19" s="416"/>
      <c r="G19" s="10" t="s">
        <v>213</v>
      </c>
      <c r="H19" s="417">
        <f>ROUNDDOWN(สี!F7,2)</f>
        <v>72</v>
      </c>
      <c r="I19" s="417"/>
      <c r="J19" s="3" t="s">
        <v>17</v>
      </c>
      <c r="K19" s="3"/>
      <c r="L19" s="3"/>
      <c r="M19" s="3"/>
      <c r="N19" s="3"/>
      <c r="O19" s="10" t="s">
        <v>74</v>
      </c>
      <c r="P19" s="28">
        <f t="shared" si="1"/>
        <v>82.8</v>
      </c>
      <c r="Q19" s="10" t="s">
        <v>17</v>
      </c>
    </row>
    <row r="20" spans="1:17" ht="24">
      <c r="A20" s="3"/>
      <c r="B20" s="11" t="s">
        <v>79</v>
      </c>
      <c r="C20" s="3"/>
      <c r="D20" s="3"/>
      <c r="E20" s="14"/>
      <c r="F20" s="3"/>
      <c r="G20" s="3"/>
      <c r="H20" s="3"/>
      <c r="I20" s="3"/>
      <c r="J20" s="3"/>
      <c r="K20" s="3"/>
      <c r="L20" s="3"/>
      <c r="M20" s="3"/>
      <c r="N20" s="3"/>
      <c r="O20" s="10" t="s">
        <v>74</v>
      </c>
      <c r="P20" s="30">
        <f>ROUND((SUM(P17:P19)),2)</f>
        <v>282.8</v>
      </c>
      <c r="Q20" s="10" t="s">
        <v>17</v>
      </c>
    </row>
    <row r="21" spans="1:17" ht="24.6" thickBot="1">
      <c r="A21" s="3"/>
      <c r="N21" s="29" t="s">
        <v>168</v>
      </c>
      <c r="O21" s="10" t="s">
        <v>74</v>
      </c>
      <c r="P21" s="31">
        <f>ROUNDDOWN(P20,0)</f>
        <v>282</v>
      </c>
      <c r="Q21" s="10" t="s">
        <v>17</v>
      </c>
    </row>
    <row r="22" spans="1:17" ht="16.8" thickTop="1"/>
    <row r="23" spans="1:17" ht="24.6" thickBot="1">
      <c r="N23" s="29" t="s">
        <v>302</v>
      </c>
      <c r="O23" s="10" t="s">
        <v>74</v>
      </c>
      <c r="P23" s="31">
        <f>ROUNDDOWN(P14+P21,0)</f>
        <v>1864</v>
      </c>
      <c r="Q23" s="10" t="s">
        <v>17</v>
      </c>
    </row>
    <row r="24" spans="1:17" ht="16.8" thickTop="1"/>
  </sheetData>
  <mergeCells count="26">
    <mergeCell ref="E19:F19"/>
    <mergeCell ref="H19:I19"/>
    <mergeCell ref="E12:F12"/>
    <mergeCell ref="H12:I12"/>
    <mergeCell ref="E17:F17"/>
    <mergeCell ref="H17:I17"/>
    <mergeCell ref="E18:F18"/>
    <mergeCell ref="H18:I18"/>
    <mergeCell ref="E9:F9"/>
    <mergeCell ref="H9:I9"/>
    <mergeCell ref="E10:F10"/>
    <mergeCell ref="H10:I10"/>
    <mergeCell ref="E11:F11"/>
    <mergeCell ref="H11:I11"/>
    <mergeCell ref="E6:F6"/>
    <mergeCell ref="H6:I6"/>
    <mergeCell ref="E7:F7"/>
    <mergeCell ref="H7:I7"/>
    <mergeCell ref="E8:F8"/>
    <mergeCell ref="H8:I8"/>
    <mergeCell ref="E3:F3"/>
    <mergeCell ref="H3:I3"/>
    <mergeCell ref="E4:F4"/>
    <mergeCell ref="H4:I4"/>
    <mergeCell ref="E5:F5"/>
    <mergeCell ref="H5:I5"/>
  </mergeCells>
  <printOptions horizontalCentered="1"/>
  <pageMargins left="0.59055118110236227" right="0.19685039370078741" top="0.39370078740157483" bottom="0.19685039370078741" header="0.31496062992125984" footer="0.31496062992125984"/>
  <pageSetup scale="90" orientation="portrait" r:id="rId1"/>
  <colBreaks count="1" manualBreakCount="1"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1.ค่าวัสดุและดำเนินการ</vt:lpstr>
      <vt:lpstr>แบบสรุปราคากลาง</vt:lpstr>
      <vt:lpstr>2.ราคาต่อหน่วยผิวทาง</vt:lpstr>
      <vt:lpstr>F</vt:lpstr>
      <vt:lpstr>ท่อ</vt:lpstr>
      <vt:lpstr>แบบหล่อคอนกรีต</vt:lpstr>
      <vt:lpstr>คอนกรีต</vt:lpstr>
      <vt:lpstr>บ่อพักน้ำแบบ1</vt:lpstr>
      <vt:lpstr>บ่อพักน้ำแบบ2</vt:lpstr>
      <vt:lpstr>สี</vt:lpstr>
      <vt:lpstr>ป้ายโครงการ</vt:lpstr>
      <vt:lpstr>เสนอแบบสรุป</vt:lpstr>
      <vt:lpstr>'1.ค่าวัสดุและดำเนินการ'!Print_Area</vt:lpstr>
      <vt:lpstr>'2.ราคาต่อหน่วยผิวทาง'!Print_Area</vt:lpstr>
      <vt:lpstr>คอนกรีต!Print_Area</vt:lpstr>
      <vt:lpstr>ท่อ!Print_Area</vt:lpstr>
      <vt:lpstr>บ่อพักน้ำแบบ1!Print_Area</vt:lpstr>
      <vt:lpstr>บ่อพักน้ำแบบ2!Print_Area</vt:lpstr>
      <vt:lpstr>แบบสรุปราคากลาง!Print_Area</vt:lpstr>
      <vt:lpstr>แบบหล่อคอนกรีต!Print_Area</vt:lpstr>
      <vt:lpstr>สี!Print_Area</vt:lpstr>
      <vt:lpstr>เสนอแบบสรุป!Print_Area</vt:lpstr>
      <vt:lpstr>แบบสรุปราคากลาง!Print_Titles</vt:lpstr>
      <vt:lpstr>เสนอแบบสรุป!Print_Titles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pg-pc</dc:creator>
  <cp:lastModifiedBy>ASUS</cp:lastModifiedBy>
  <cp:lastPrinted>2025-08-05T03:30:02Z</cp:lastPrinted>
  <dcterms:created xsi:type="dcterms:W3CDTF">2017-05-01T02:16:56Z</dcterms:created>
  <dcterms:modified xsi:type="dcterms:W3CDTF">2025-08-05T03:32:31Z</dcterms:modified>
</cp:coreProperties>
</file>